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D\Downloads\"/>
    </mc:Choice>
  </mc:AlternateContent>
  <xr:revisionPtr revIDLastSave="0" documentId="13_ncr:1_{75F9B781-E3EB-452E-9C35-10B750CFBF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C Exenta (&gt;2021)" sheetId="1" r:id="rId1"/>
    <sheet name="Calculadora CUOTAS" sheetId="2" r:id="rId2"/>
  </sheets>
  <definedNames>
    <definedName name="_xlnm._FilterDatabase" localSheetId="1" hidden="1">'Calculadora CUOTAS'!$B$2:$E$7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" l="1"/>
  <c r="I37" i="1"/>
  <c r="F6" i="1"/>
  <c r="M15" i="2" l="1"/>
  <c r="M16" i="2" s="1"/>
  <c r="M17" i="2" s="1"/>
  <c r="M18" i="2" s="1"/>
  <c r="D7" i="2"/>
  <c r="O9" i="2" s="1"/>
  <c r="C7" i="2"/>
  <c r="B3" i="2"/>
  <c r="D3" i="2" s="1"/>
  <c r="F28" i="2" l="1"/>
  <c r="F27" i="2"/>
  <c r="F26" i="2"/>
  <c r="B25" i="2"/>
  <c r="C24" i="2"/>
  <c r="E23" i="2"/>
  <c r="F22" i="2"/>
  <c r="B21" i="2"/>
  <c r="F20" i="2"/>
  <c r="C19" i="2"/>
  <c r="E18" i="2"/>
  <c r="F17" i="2"/>
  <c r="B16" i="2"/>
  <c r="C15" i="2"/>
  <c r="C14" i="2"/>
  <c r="E13" i="2"/>
  <c r="E28" i="2"/>
  <c r="C18" i="2"/>
  <c r="B14" i="2"/>
  <c r="C28" i="2"/>
  <c r="C27" i="2"/>
  <c r="C26" i="2"/>
  <c r="E25" i="2"/>
  <c r="F24" i="2"/>
  <c r="B23" i="2"/>
  <c r="C22" i="2"/>
  <c r="E21" i="2"/>
  <c r="C20" i="2"/>
  <c r="F19" i="2"/>
  <c r="B18" i="2"/>
  <c r="C17" i="2"/>
  <c r="E16" i="2"/>
  <c r="F15" i="2"/>
  <c r="F14" i="2"/>
  <c r="B13" i="2"/>
  <c r="B28" i="2"/>
  <c r="B27" i="2"/>
  <c r="B26" i="2"/>
  <c r="C25" i="2"/>
  <c r="E24" i="2"/>
  <c r="F23" i="2"/>
  <c r="B22" i="2"/>
  <c r="C21" i="2"/>
  <c r="B20" i="2"/>
  <c r="E19" i="2"/>
  <c r="F18" i="2"/>
  <c r="B17" i="2"/>
  <c r="C16" i="2"/>
  <c r="E15" i="2"/>
  <c r="E14" i="2"/>
  <c r="F13" i="2"/>
  <c r="E27" i="2"/>
  <c r="E26" i="2"/>
  <c r="F25" i="2"/>
  <c r="B24" i="2"/>
  <c r="C23" i="2"/>
  <c r="E22" i="2"/>
  <c r="F21" i="2"/>
  <c r="E20" i="2"/>
  <c r="B19" i="2"/>
  <c r="E17" i="2"/>
  <c r="F16" i="2"/>
  <c r="B15" i="2"/>
  <c r="C13" i="2"/>
  <c r="E7" i="2"/>
  <c r="M23" i="2" s="1"/>
  <c r="O10" i="2" l="1"/>
  <c r="O11" i="2" s="1"/>
  <c r="O13" i="2"/>
  <c r="B10" i="2" l="1"/>
  <c r="E10" i="2"/>
  <c r="C10" i="2"/>
  <c r="F10" i="2"/>
  <c r="L20" i="2" s="1"/>
  <c r="M19" i="2" l="1"/>
  <c r="M3" i="2"/>
  <c r="J19" i="2"/>
  <c r="J20" i="2" l="1"/>
  <c r="M4" i="2"/>
  <c r="M20" i="2" l="1"/>
  <c r="M5" i="2"/>
  <c r="M21" i="2" l="1"/>
  <c r="M6" i="2"/>
  <c r="M22" i="2"/>
  <c r="I7" i="2" l="1"/>
  <c r="M25" i="2" s="1"/>
  <c r="M24" i="2"/>
  <c r="AE25" i="1" l="1"/>
  <c r="I6" i="1"/>
  <c r="H6" i="1" s="1"/>
  <c r="M30" i="1" s="1"/>
  <c r="M32" i="1" s="1"/>
  <c r="AE24" i="1"/>
  <c r="AE23" i="1"/>
  <c r="AE22" i="1"/>
  <c r="H23" i="1" l="1"/>
  <c r="F23" i="1"/>
  <c r="V34" i="1"/>
  <c r="V31" i="1"/>
  <c r="Y37" i="1"/>
  <c r="R28" i="1"/>
  <c r="G23" i="1"/>
  <c r="J21" i="1"/>
  <c r="K21" i="1" s="1"/>
  <c r="I21" i="1"/>
  <c r="J20" i="1"/>
  <c r="K20" i="1" s="1"/>
  <c r="I20" i="1"/>
  <c r="J19" i="1"/>
  <c r="K19" i="1" s="1"/>
  <c r="I19" i="1"/>
  <c r="J18" i="1"/>
  <c r="K18" i="1" s="1"/>
  <c r="I18" i="1"/>
  <c r="J17" i="1"/>
  <c r="K17" i="1" s="1"/>
  <c r="I17" i="1"/>
  <c r="J16" i="1"/>
  <c r="K16" i="1" s="1"/>
  <c r="I16" i="1"/>
  <c r="R15" i="1"/>
  <c r="J15" i="1"/>
  <c r="K15" i="1" s="1"/>
  <c r="I15" i="1"/>
  <c r="J14" i="1"/>
  <c r="K14" i="1" s="1"/>
  <c r="I14" i="1"/>
  <c r="J13" i="1"/>
  <c r="K13" i="1" s="1"/>
  <c r="I13" i="1"/>
  <c r="J12" i="1"/>
  <c r="K12" i="1" s="1"/>
  <c r="I12" i="1"/>
  <c r="V11" i="1"/>
  <c r="R5" i="1"/>
  <c r="R8" i="1" s="1"/>
  <c r="R10" i="1" s="1"/>
  <c r="C3" i="1"/>
  <c r="J28" i="1" l="1"/>
  <c r="J27" i="1"/>
  <c r="J26" i="1"/>
  <c r="J31" i="1" s="1"/>
  <c r="E9" i="1"/>
  <c r="F9" i="1" s="1"/>
  <c r="R16" i="1"/>
  <c r="AF33" i="1"/>
  <c r="I9" i="1" l="1"/>
  <c r="J9" i="1" s="1"/>
  <c r="L29" i="1"/>
  <c r="L31" i="1"/>
  <c r="L33" i="1"/>
  <c r="H9" i="1"/>
  <c r="J32" i="1" s="1"/>
  <c r="L26" i="1"/>
  <c r="Y33" i="1"/>
  <c r="P42" i="1" s="1"/>
  <c r="Y39" i="1"/>
  <c r="Y41" i="1" s="1"/>
  <c r="Z41" i="1"/>
  <c r="AF36" i="1"/>
  <c r="Y44" i="1" s="1"/>
  <c r="L12" i="1" l="1"/>
  <c r="L15" i="1"/>
  <c r="L19" i="1"/>
  <c r="L16" i="1"/>
  <c r="L20" i="1"/>
  <c r="L13" i="1"/>
  <c r="L17" i="1"/>
  <c r="L21" i="1"/>
  <c r="L14" i="1"/>
  <c r="L18" i="1"/>
  <c r="J34" i="1"/>
  <c r="J33" i="1"/>
  <c r="Y43" i="1"/>
  <c r="Y45" i="1" s="1"/>
  <c r="P44" i="1" s="1"/>
  <c r="AG40" i="1"/>
  <c r="AD39" i="1"/>
  <c r="R18" i="1" l="1"/>
  <c r="L23" i="1"/>
  <c r="P43" i="1"/>
  <c r="R20" i="1" l="1"/>
  <c r="R30" i="1" s="1"/>
  <c r="R32" i="1" s="1"/>
  <c r="R35" i="1" s="1"/>
  <c r="T2" i="1" l="1"/>
  <c r="AG42" i="1"/>
  <c r="AF34" i="1"/>
  <c r="V17" i="1"/>
  <c r="V19" i="1" s="1"/>
  <c r="V21" i="1" s="1"/>
  <c r="V30" i="1" s="1"/>
  <c r="V32" i="1" s="1"/>
  <c r="V35" i="1" s="1"/>
</calcChain>
</file>

<file path=xl/sharedStrings.xml><?xml version="1.0" encoding="utf-8"?>
<sst xmlns="http://schemas.openxmlformats.org/spreadsheetml/2006/main" count="442" uniqueCount="293">
  <si>
    <t>Fecha de devengo</t>
  </si>
  <si>
    <t>Patrimonio preexistente</t>
  </si>
  <si>
    <t>Tabla coef por parentesco y tramo</t>
  </si>
  <si>
    <t>0 .. 402.678,11 €</t>
  </si>
  <si>
    <t>Preex.</t>
  </si>
  <si>
    <t>GRUPO I / II</t>
  </si>
  <si>
    <t>GRUPO III</t>
  </si>
  <si>
    <t>GRUPO IV</t>
  </si>
  <si>
    <t>Columna</t>
  </si>
  <si>
    <t>CONCEPTO</t>
  </si>
  <si>
    <t>IMPORTE</t>
  </si>
  <si>
    <t>2</t>
  </si>
  <si>
    <t>Valor de los bienes y derechos</t>
  </si>
  <si>
    <t>Valor de bienes y derechos</t>
  </si>
  <si>
    <t>Acumulaciones</t>
  </si>
  <si>
    <t>de 402.678,11 € a 2.007.380,43 €</t>
  </si>
  <si>
    <t>3</t>
  </si>
  <si>
    <r>
      <t xml:space="preserve">Adición de bienes  </t>
    </r>
    <r>
      <rPr>
        <i/>
        <sz val="11"/>
        <color theme="0" tint="-0.34998626667073579"/>
        <rFont val="Calibri"/>
        <family val="2"/>
        <scheme val="minor"/>
      </rPr>
      <t>(Recuadro 02 del D650, epíg.[H])</t>
    </r>
  </si>
  <si>
    <t>BASE LIQUIDABLE TEÓRICA</t>
  </si>
  <si>
    <t>de 2.007.380,43 € a 4.020.770,98 €</t>
  </si>
  <si>
    <t>4</t>
  </si>
  <si>
    <r>
      <t xml:space="preserve">Exenciones </t>
    </r>
    <r>
      <rPr>
        <i/>
        <sz val="11"/>
        <color theme="0" tint="-0.34998626667073579"/>
        <rFont val="Calibri"/>
        <family val="2"/>
        <scheme val="minor"/>
      </rPr>
      <t>(Recuadro 03 del D650, epígrafe [I])</t>
    </r>
  </si>
  <si>
    <t>TARIFA</t>
  </si>
  <si>
    <t>&gt; 4.020.770,98 €</t>
  </si>
  <si>
    <t>Fecha de nacimiento (usuf. más joven)</t>
  </si>
  <si>
    <t>Edad</t>
  </si>
  <si>
    <t>Valor usuf.</t>
  </si>
  <si>
    <t>Resto</t>
  </si>
  <si>
    <t>TOTAL (01 + 02 - 03)</t>
  </si>
  <si>
    <t>Hasta …...…...……</t>
  </si>
  <si>
    <t>A</t>
  </si>
  <si>
    <t>Ajuar doméstico</t>
  </si>
  <si>
    <t>Resto …...…...…... al ….....%</t>
  </si>
  <si>
    <t>B</t>
  </si>
  <si>
    <t>MASA HEREDITARIA (04 + 05)</t>
  </si>
  <si>
    <t>Total cuota teórica</t>
  </si>
  <si>
    <t>Lista parentesco</t>
  </si>
  <si>
    <t>Grupo</t>
  </si>
  <si>
    <t>Red &gt; 2021</t>
  </si>
  <si>
    <t>Sujetos pasivos</t>
  </si>
  <si>
    <t>Parentesco</t>
  </si>
  <si>
    <t>Colmna 6</t>
  </si>
  <si>
    <t>Coef</t>
  </si>
  <si>
    <t>% Final</t>
  </si>
  <si>
    <t>Tipo medio efectivo de gravamen (14 / 13 x 100)</t>
  </si>
  <si>
    <t>Hijo/a &lt; 21 años</t>
  </si>
  <si>
    <t>GRUPO I</t>
  </si>
  <si>
    <t>Cónyuge</t>
  </si>
  <si>
    <t>Cargas deducibles</t>
  </si>
  <si>
    <t>Hijo/a de 21 años o más</t>
  </si>
  <si>
    <t>GRUPO II</t>
  </si>
  <si>
    <t>Deudas deducibles</t>
  </si>
  <si>
    <t>Gastos deducibles</t>
  </si>
  <si>
    <t>Pareja de hecho</t>
  </si>
  <si>
    <t>TOTAL (07 + 08 + 09)</t>
  </si>
  <si>
    <t>Hijo/a</t>
  </si>
  <si>
    <t>MASA HERIDITARIA NETA (06 - 10)</t>
  </si>
  <si>
    <t>Nieto/a</t>
  </si>
  <si>
    <t>CUOTA ÍNTEGRA (A + B o 27 x 15)</t>
  </si>
  <si>
    <t>Padre/Madre</t>
  </si>
  <si>
    <t>Porción hereditaria individual</t>
  </si>
  <si>
    <t>Coeficiente</t>
  </si>
  <si>
    <t>Abuelo/a</t>
  </si>
  <si>
    <t>Seguros de vida</t>
  </si>
  <si>
    <t>Cuota tributaria (30 x 31)</t>
  </si>
  <si>
    <t>Ascendientes directos</t>
  </si>
  <si>
    <t>BASE IMPONIBLE (20 + 21)</t>
  </si>
  <si>
    <t>Deducción exceso de cuota</t>
  </si>
  <si>
    <t>Descendientes directos</t>
  </si>
  <si>
    <t>CUOTA TRIBUTARIA AJUSTADA (32 - 33)</t>
  </si>
  <si>
    <t>Hermano/a</t>
  </si>
  <si>
    <t>Red. Empresa individual</t>
  </si>
  <si>
    <t>24a</t>
  </si>
  <si>
    <t>Sobrino/a</t>
  </si>
  <si>
    <t>Red. Participación en entidades</t>
  </si>
  <si>
    <t>24b</t>
  </si>
  <si>
    <t>Deducción doble imposición internacional</t>
  </si>
  <si>
    <t>Tío/a</t>
  </si>
  <si>
    <t>Red. Adq. Bienes Patrimonio H</t>
  </si>
  <si>
    <t>24c</t>
  </si>
  <si>
    <t>Deducción cuotas anteriores</t>
  </si>
  <si>
    <t>36a</t>
  </si>
  <si>
    <t>Yerno/Nuera (y desc. por afinidad)</t>
  </si>
  <si>
    <t>Si no hay usufructo, se reparte todo en pleno dominio</t>
  </si>
  <si>
    <t>Comprobación</t>
  </si>
  <si>
    <t>Red. Adq. Viv. Habitual causante</t>
  </si>
  <si>
    <t>24d</t>
  </si>
  <si>
    <t>Deducción tasa valoración</t>
  </si>
  <si>
    <t>36b</t>
  </si>
  <si>
    <t>Suegro/a (y asc. por afinidad)</t>
  </si>
  <si>
    <t>Sin Usuf</t>
  </si>
  <si>
    <t>Red. Adq. Explotación agraria</t>
  </si>
  <si>
    <t>24e</t>
  </si>
  <si>
    <t>Recarga</t>
  </si>
  <si>
    <t>37a</t>
  </si>
  <si>
    <t>Cuñado/a</t>
  </si>
  <si>
    <t>Casilla 27</t>
  </si>
  <si>
    <t>Otras reducciones</t>
  </si>
  <si>
    <t>24f</t>
  </si>
  <si>
    <t>Intereses de demora</t>
  </si>
  <si>
    <t>37b</t>
  </si>
  <si>
    <t>Tío/a político/a</t>
  </si>
  <si>
    <t>Si hay usufructo, hay que hacer el reparto completo</t>
  </si>
  <si>
    <t>Total Red. NO aplicables de oficio</t>
  </si>
  <si>
    <t>Sobrino/a político/a</t>
  </si>
  <si>
    <t>Valor bienes</t>
  </si>
  <si>
    <t>Con Usuf</t>
  </si>
  <si>
    <t>Red. Seguros de vida</t>
  </si>
  <si>
    <t>25a</t>
  </si>
  <si>
    <r>
      <t xml:space="preserve">Deducción por parentesco </t>
    </r>
    <r>
      <rPr>
        <i/>
        <sz val="11"/>
        <color theme="0" tint="-0.34998626667073579"/>
        <rFont val="Calibri"/>
        <family val="2"/>
        <scheme val="minor"/>
      </rPr>
      <t>(99% de 11 si GRUPO I)</t>
    </r>
  </si>
  <si>
    <t>Otros</t>
  </si>
  <si>
    <t xml:space="preserve">y fecha </t>
  </si>
  <si>
    <t>Red. Parentesco</t>
  </si>
  <si>
    <t>25b</t>
  </si>
  <si>
    <t>CUOTA LÍQUIDA (34 - 40)</t>
  </si>
  <si>
    <t>Valor usufructo</t>
  </si>
  <si>
    <t>Usuf</t>
  </si>
  <si>
    <t>NP</t>
  </si>
  <si>
    <t>Red. Discapacidad y otras</t>
  </si>
  <si>
    <t>25c</t>
  </si>
  <si>
    <t>Total deducciones (36a + 36b)</t>
  </si>
  <si>
    <t>Total Red. aplicables de oficio</t>
  </si>
  <si>
    <t>CUOTA A INGRESAR (41 - 35 - 36)</t>
  </si>
  <si>
    <t>Valor no usuf.</t>
  </si>
  <si>
    <t>Red. Transimisión consecutiva</t>
  </si>
  <si>
    <t>Total recargos (37a + 37b)</t>
  </si>
  <si>
    <t>BASE LIQUIDABLE (23 - 24 - 25 - 26)</t>
  </si>
  <si>
    <t>TOTAL A INGRESAR (42 + 37)</t>
  </si>
  <si>
    <t>% PD</t>
  </si>
  <si>
    <t>% U</t>
  </si>
  <si>
    <t>% NP</t>
  </si>
  <si>
    <t>Total PD</t>
  </si>
  <si>
    <t>Total U</t>
  </si>
  <si>
    <t>TOTAL NP</t>
  </si>
  <si>
    <t>HAY ERROR</t>
  </si>
  <si>
    <t>EXENTA</t>
  </si>
  <si>
    <t>Autoliquidación del …</t>
  </si>
  <si>
    <t>INSTRUCCIONES</t>
  </si>
  <si>
    <t>1. Rellena el valor de los bienes que conforman la herencia</t>
  </si>
  <si>
    <t>2. Si existen usufructuarios, indicar la fecha de nacimiento del más joven</t>
  </si>
  <si>
    <t>3. Rellenar la tabla con el reparto de la herencia</t>
  </si>
  <si>
    <t xml:space="preserve">  - Se comprobará que se reparte el PD al 100 % o, alternativamente, 
</t>
  </si>
  <si>
    <t xml:space="preserve">   el U al 100 % y la NP también al 100 %</t>
  </si>
  <si>
    <t>4. Se aplicarán las reducciones por el parentesco indicado que están en vigor a 2021</t>
  </si>
  <si>
    <t>Sujeto Pasivo 1</t>
  </si>
  <si>
    <t>Reparto usufructo</t>
  </si>
  <si>
    <t>1/4</t>
  </si>
  <si>
    <t>1/3</t>
  </si>
  <si>
    <t>100%</t>
  </si>
  <si>
    <t>Indicar %</t>
  </si>
  <si>
    <t>Reparto en % del usufructo</t>
  </si>
  <si>
    <t>Porción hered</t>
  </si>
  <si>
    <t>Todo en PD</t>
  </si>
  <si>
    <t>Todo en U y NP</t>
  </si>
  <si>
    <t>Parte en PD y parte en U y NP</t>
  </si>
  <si>
    <t>Le sumamos la parte que tenga en pleno dominio</t>
  </si>
  <si>
    <t>Valor del U+NP aplicado al % de usufructo</t>
  </si>
  <si>
    <t>Valor del PD aplicado a lo que no se reparte en usufructo</t>
  </si>
  <si>
    <r>
      <t>Sujeto Pasivo</t>
    </r>
    <r>
      <rPr>
        <b/>
        <sz val="12"/>
        <color theme="1"/>
        <rFont val="Calibri"/>
        <family val="2"/>
        <scheme val="minor"/>
      </rPr>
      <t xml:space="preserve"> 1</t>
    </r>
  </si>
  <si>
    <r>
      <t>Sujeto Pasivo</t>
    </r>
    <r>
      <rPr>
        <b/>
        <sz val="12"/>
        <color theme="1"/>
        <rFont val="Calibri"/>
        <family val="2"/>
        <scheme val="minor"/>
      </rPr>
      <t xml:space="preserve"> 2</t>
    </r>
  </si>
  <si>
    <r>
      <t xml:space="preserve">Sujeto Pasivo </t>
    </r>
    <r>
      <rPr>
        <b/>
        <sz val="12"/>
        <color theme="1"/>
        <rFont val="Calibri"/>
        <family val="2"/>
        <scheme val="minor"/>
      </rPr>
      <t>3</t>
    </r>
  </si>
  <si>
    <r>
      <t xml:space="preserve">Sujeto Pasivo </t>
    </r>
    <r>
      <rPr>
        <b/>
        <sz val="12"/>
        <color theme="1"/>
        <rFont val="Calibri"/>
        <family val="2"/>
        <scheme val="minor"/>
      </rPr>
      <t>4</t>
    </r>
  </si>
  <si>
    <r>
      <t xml:space="preserve">Sujeto Pasivo </t>
    </r>
    <r>
      <rPr>
        <b/>
        <sz val="12"/>
        <color theme="1"/>
        <rFont val="Calibri"/>
        <family val="2"/>
        <scheme val="minor"/>
      </rPr>
      <t>5</t>
    </r>
  </si>
  <si>
    <r>
      <t xml:space="preserve">Sujeto Pasivo </t>
    </r>
    <r>
      <rPr>
        <b/>
        <sz val="12"/>
        <color theme="1"/>
        <rFont val="Calibri"/>
        <family val="2"/>
        <scheme val="minor"/>
      </rPr>
      <t>6</t>
    </r>
  </si>
  <si>
    <r>
      <t xml:space="preserve">Sujeto Pasivo </t>
    </r>
    <r>
      <rPr>
        <b/>
        <sz val="12"/>
        <color theme="1"/>
        <rFont val="Calibri"/>
        <family val="2"/>
        <scheme val="minor"/>
      </rPr>
      <t>7</t>
    </r>
  </si>
  <si>
    <r>
      <t xml:space="preserve">Sujeto Pasivo </t>
    </r>
    <r>
      <rPr>
        <b/>
        <sz val="12"/>
        <color theme="1"/>
        <rFont val="Calibri"/>
        <family val="2"/>
        <scheme val="minor"/>
      </rPr>
      <t>8</t>
    </r>
  </si>
  <si>
    <r>
      <t xml:space="preserve">Sujeto Pasivo </t>
    </r>
    <r>
      <rPr>
        <b/>
        <sz val="12"/>
        <color theme="1"/>
        <rFont val="Calibri"/>
        <family val="2"/>
        <scheme val="minor"/>
      </rPr>
      <t>9</t>
    </r>
  </si>
  <si>
    <r>
      <t xml:space="preserve">Sujeto Pasivo </t>
    </r>
    <r>
      <rPr>
        <b/>
        <sz val="12"/>
        <color theme="1"/>
        <rFont val="Calibri"/>
        <family val="2"/>
        <scheme val="minor"/>
      </rPr>
      <t>10</t>
    </r>
  </si>
  <si>
    <t>Fecha Devengo</t>
  </si>
  <si>
    <t>Columna AÑO</t>
  </si>
  <si>
    <t>Explicación</t>
  </si>
  <si>
    <t>Cálculo</t>
  </si>
  <si>
    <t>Restamos al valor del bien 
la base liquidable inicial del tramo correspondiente</t>
  </si>
  <si>
    <t>Operación</t>
  </si>
  <si>
    <t>Escritura</t>
  </si>
  <si>
    <t>Valor del bien</t>
  </si>
  <si>
    <t>¿En escritura pública?</t>
  </si>
  <si>
    <t>Le aplicamos el tipo al resultado obtenido</t>
  </si>
  <si>
    <t>Herencia 
(art. 3.1.a)</t>
  </si>
  <si>
    <t>Sí</t>
  </si>
  <si>
    <t>Donación 
(art. 3.1.b)</t>
  </si>
  <si>
    <t>No</t>
  </si>
  <si>
    <t>Sumamos el resultado 
a la cuota íntegra inicial del tramo correspondiente</t>
  </si>
  <si>
    <t>de 402.678,11 €
a 2.007.380,43 €</t>
  </si>
  <si>
    <t>GRUPO</t>
  </si>
  <si>
    <t>GRUPO-Ext</t>
  </si>
  <si>
    <t>COEFICIENTE</t>
  </si>
  <si>
    <t>Aplicamos ahora el coeficiente de parentesco</t>
  </si>
  <si>
    <t>Seguro 
(art. 3.1.c)</t>
  </si>
  <si>
    <t>de 2.007.380,43 €
a 4.020.770,98 €</t>
  </si>
  <si>
    <t>CUOTA A INGRESAR</t>
  </si>
  <si>
    <t>Base liquidable 
Hasta euros</t>
  </si>
  <si>
    <t>Cuota íntegra
(euros)</t>
  </si>
  <si>
    <t>Resto base liquidable 
Hasta euros</t>
  </si>
  <si>
    <t>Tipo aplicable
Porcentaje</t>
  </si>
  <si>
    <t>Instrucciones</t>
  </si>
  <si>
    <r>
      <rPr>
        <b/>
        <sz val="11"/>
        <rFont val="Calibri"/>
        <family val="2"/>
        <scheme val="minor"/>
      </rPr>
      <t>1.</t>
    </r>
    <r>
      <rPr>
        <sz val="11"/>
        <rFont val="Calibri"/>
        <family val="2"/>
        <scheme val="minor"/>
      </rPr>
      <t xml:space="preserve"> Introduzca el valor del bien
</t>
    </r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Seleccione el parentesco en el desplegable para consultar el GRUPO para la reducción por parentesco (Art. 6.2 DL 1/2011)
</t>
    </r>
    <r>
      <rPr>
        <b/>
        <sz val="11"/>
        <rFont val="Calibri"/>
        <family val="2"/>
        <scheme val="minor"/>
      </rPr>
      <t>3.</t>
    </r>
    <r>
      <rPr>
        <sz val="11"/>
        <rFont val="Calibri"/>
        <family val="2"/>
        <scheme val="minor"/>
      </rPr>
      <t xml:space="preserve"> Elija el tipo de operación (en caso de DONACIONES, indicar si se formaliza en escritura pública o no)</t>
    </r>
  </si>
  <si>
    <t>T1F1</t>
  </si>
  <si>
    <t>T1F2</t>
  </si>
  <si>
    <t>T1F3</t>
  </si>
  <si>
    <t>F1</t>
  </si>
  <si>
    <t>T1F4</t>
  </si>
  <si>
    <t>F2</t>
  </si>
  <si>
    <t>Ayuda para cubrir el Modelo 651 (si no hubiese reducciones/deducciones)</t>
  </si>
  <si>
    <t>T1F5</t>
  </si>
  <si>
    <t>F3</t>
  </si>
  <si>
    <t>Valor real de bens e dereitos</t>
  </si>
  <si>
    <t>T1F6</t>
  </si>
  <si>
    <t>En adelante</t>
  </si>
  <si>
    <t>F4</t>
  </si>
  <si>
    <t>VALOR NETO (01 - 03 - 07 - 08)</t>
  </si>
  <si>
    <t>T1F7</t>
  </si>
  <si>
    <t>Yerno/Nuera
y descendientes por afinidad</t>
  </si>
  <si>
    <t>F5</t>
  </si>
  <si>
    <t>BASE IMPOÑIBLE (11)</t>
  </si>
  <si>
    <t>T1F8</t>
  </si>
  <si>
    <t>Suegro/a
y ascendientes por afinidad</t>
  </si>
  <si>
    <t>F6</t>
  </si>
  <si>
    <t>BASE LIQUIDABLE (23 - 24)</t>
  </si>
  <si>
    <t>T1F9</t>
  </si>
  <si>
    <t>F7</t>
  </si>
  <si>
    <t>Ata</t>
  </si>
  <si>
    <t>T1F10</t>
  </si>
  <si>
    <t>F8</t>
  </si>
  <si>
    <t>ao</t>
  </si>
  <si>
    <t>T1F11</t>
  </si>
  <si>
    <t>F9</t>
  </si>
  <si>
    <t xml:space="preserve">                                                                                          SUMA (30)         </t>
  </si>
  <si>
    <t>T1F12</t>
  </si>
  <si>
    <t>F10</t>
  </si>
  <si>
    <t>COTA ÍNTEGRA</t>
  </si>
  <si>
    <t>T1F13</t>
  </si>
  <si>
    <t>F11</t>
  </si>
  <si>
    <t>T1F14</t>
  </si>
  <si>
    <t>F12</t>
  </si>
  <si>
    <t>Cota tributaria (30 x 31)</t>
  </si>
  <si>
    <t>T1F15</t>
  </si>
  <si>
    <t>F13</t>
  </si>
  <si>
    <t>TOTAL A INGRESAR (34 - 35 - 36 - 37)</t>
  </si>
  <si>
    <t>T1F16</t>
  </si>
  <si>
    <t>F14</t>
  </si>
  <si>
    <t>T2F1</t>
  </si>
  <si>
    <t>F15</t>
  </si>
  <si>
    <t>T2F2</t>
  </si>
  <si>
    <t>F16</t>
  </si>
  <si>
    <t>T2F3</t>
  </si>
  <si>
    <t>0,09</t>
  </si>
  <si>
    <t>T2F4</t>
  </si>
  <si>
    <t>T2F5</t>
  </si>
  <si>
    <t>T2F6</t>
  </si>
  <si>
    <t>T2F7</t>
  </si>
  <si>
    <t>T2F8</t>
  </si>
  <si>
    <t>T2F9</t>
  </si>
  <si>
    <t>T2F10</t>
  </si>
  <si>
    <t>T2F11</t>
  </si>
  <si>
    <t>T2F12</t>
  </si>
  <si>
    <t>T2F13</t>
  </si>
  <si>
    <t>T2F14</t>
  </si>
  <si>
    <t>T2F15</t>
  </si>
  <si>
    <t>T2F16</t>
  </si>
  <si>
    <t>T3F1</t>
  </si>
  <si>
    <t>T3F2</t>
  </si>
  <si>
    <t>T3F3</t>
  </si>
  <si>
    <t>T3F4</t>
  </si>
  <si>
    <t>T3F5</t>
  </si>
  <si>
    <t>T3F6</t>
  </si>
  <si>
    <t>T3F7</t>
  </si>
  <si>
    <t>T3F8</t>
  </si>
  <si>
    <t>T3F9</t>
  </si>
  <si>
    <t>T3F10</t>
  </si>
  <si>
    <t>T3F11</t>
  </si>
  <si>
    <t>T3F12</t>
  </si>
  <si>
    <t>T3F13</t>
  </si>
  <si>
    <t>T3F14</t>
  </si>
  <si>
    <t>T3F15</t>
  </si>
  <si>
    <t>T3F16</t>
  </si>
  <si>
    <t>Legados</t>
  </si>
  <si>
    <t>Solo PD?</t>
  </si>
  <si>
    <t>PD y U + NP</t>
  </si>
  <si>
    <t>Solo U + NP?</t>
  </si>
  <si>
    <t>1) TIPO REPARTO</t>
  </si>
  <si>
    <t>2) Porción here.</t>
  </si>
  <si>
    <t>--&gt;</t>
  </si>
  <si>
    <t>Aplicar al % del usufructo</t>
  </si>
  <si>
    <t>Usufruto a repartir</t>
  </si>
  <si>
    <t>Usufruto restante</t>
  </si>
  <si>
    <r>
      <t xml:space="preserve">5. </t>
    </r>
    <r>
      <rPr>
        <sz val="12"/>
        <color rgb="FFC00000"/>
        <rFont val="Calibri"/>
        <family val="2"/>
        <scheme val="minor"/>
      </rPr>
      <t>MUY IMPORTANTE</t>
    </r>
    <r>
      <rPr>
        <sz val="12"/>
        <color theme="1"/>
        <rFont val="Calibri"/>
        <family val="2"/>
        <scheme val="minor"/>
      </rPr>
      <t>: seleccionar en el desplegable el "</t>
    </r>
    <r>
      <rPr>
        <b/>
        <sz val="12"/>
        <color theme="1"/>
        <rFont val="Calibri"/>
        <family val="2"/>
        <scheme val="minor"/>
      </rPr>
      <t>Causante</t>
    </r>
    <r>
      <rPr>
        <sz val="12"/>
        <color theme="1"/>
        <rFont val="Calibri"/>
        <family val="2"/>
        <scheme val="minor"/>
      </rPr>
      <t>" que se desee</t>
    </r>
  </si>
  <si>
    <r>
      <t xml:space="preserve">6. En caso de que la </t>
    </r>
    <r>
      <rPr>
        <b/>
        <sz val="12"/>
        <color theme="4"/>
        <rFont val="Calibri"/>
        <family val="2"/>
        <scheme val="minor"/>
      </rPr>
      <t>autoliquidación no resultase exenta</t>
    </r>
    <r>
      <rPr>
        <sz val="12"/>
        <color theme="1"/>
        <rFont val="Calibri"/>
        <family val="2"/>
        <scheme val="minor"/>
      </rPr>
      <t xml:space="preserve">, se recomienda usar </t>
    </r>
    <r>
      <rPr>
        <b/>
        <sz val="12"/>
        <color theme="4"/>
        <rFont val="Calibri"/>
        <family val="2"/>
        <scheme val="minor"/>
      </rPr>
      <t>ALISe</t>
    </r>
  </si>
  <si>
    <t>3) Tenemos en cuenta LEGADOS</t>
  </si>
  <si>
    <t>Total legados</t>
  </si>
  <si>
    <t>legado Sujeto</t>
  </si>
  <si>
    <t>OK o ERROR REPARTO?</t>
  </si>
  <si>
    <t>teórica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</si>
</sst>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164" formatCode="00"/>
    <numFmt numFmtId="165" formatCode="#,##0.00\ &quot;€&quot;"/>
    <numFmt numFmtId="166" formatCode="0.0000"/>
    <numFmt numFmtId="167" formatCode="#,##0.0000"/>
    <numFmt numFmtId="168" formatCode="#,##0.00\ _€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0.39991454817346722"/>
      </left>
      <right/>
      <top style="medium">
        <color theme="9" tint="0.39991454817346722"/>
      </top>
      <bottom/>
      <diagonal/>
    </border>
    <border>
      <left style="thin">
        <color theme="9" tint="0.39991454817346722"/>
      </left>
      <right style="thin">
        <color theme="9" tint="0.39991454817346722"/>
      </right>
      <top style="medium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medium">
        <color theme="9" tint="0.39991454817346722"/>
      </right>
      <top style="medium">
        <color theme="9" tint="0.39991454817346722"/>
      </top>
      <bottom style="thin">
        <color theme="9" tint="0.39991454817346722"/>
      </bottom>
      <diagonal/>
    </border>
    <border>
      <left style="medium">
        <color theme="9" tint="0.39991454817346722"/>
      </left>
      <right/>
      <top/>
      <bottom/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medium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 style="medium">
        <color theme="9" tint="0.39991454817346722"/>
      </right>
      <top/>
      <bottom/>
      <diagonal/>
    </border>
    <border>
      <left style="medium">
        <color theme="9" tint="0.39991454817346722"/>
      </left>
      <right/>
      <top/>
      <bottom style="medium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medium">
        <color theme="9" tint="0.39991454817346722"/>
      </bottom>
      <diagonal/>
    </border>
    <border>
      <left style="thin">
        <color theme="9" tint="0.39991454817346722"/>
      </left>
      <right style="medium">
        <color theme="9" tint="0.39991454817346722"/>
      </right>
      <top style="thin">
        <color theme="9" tint="0.39991454817346722"/>
      </top>
      <bottom style="medium">
        <color theme="9" tint="0.39991454817346722"/>
      </bottom>
      <diagonal/>
    </border>
    <border>
      <left/>
      <right/>
      <top style="medium">
        <color theme="9" tint="0.39991454817346722"/>
      </top>
      <bottom/>
      <diagonal/>
    </border>
    <border>
      <left/>
      <right style="medium">
        <color theme="9" tint="0.39991454817346722"/>
      </right>
      <top style="medium">
        <color theme="9" tint="0.39991454817346722"/>
      </top>
      <bottom/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 style="medium">
        <color theme="9" tint="0.39991454817346722"/>
      </right>
      <top style="thin">
        <color theme="9" tint="0.39991454817346722"/>
      </top>
      <bottom/>
      <diagonal/>
    </border>
    <border>
      <left style="thick">
        <color theme="9" tint="0.39985351115451523"/>
      </left>
      <right/>
      <top style="thick">
        <color theme="9" tint="0.39985351115451523"/>
      </top>
      <bottom style="thick">
        <color theme="9" tint="0.39985351115451523"/>
      </bottom>
      <diagonal/>
    </border>
    <border>
      <left style="thin">
        <color theme="9" tint="0.39991454817346722"/>
      </left>
      <right style="thin">
        <color theme="9" tint="0.39991454817346722"/>
      </right>
      <top style="thick">
        <color theme="9" tint="0.39985351115451523"/>
      </top>
      <bottom style="thick">
        <color theme="9" tint="0.39985351115451523"/>
      </bottom>
      <diagonal/>
    </border>
    <border>
      <left style="thin">
        <color theme="9" tint="0.39991454817346722"/>
      </left>
      <right style="thick">
        <color theme="9" tint="0.39985351115451523"/>
      </right>
      <top style="thick">
        <color theme="9" tint="0.39985351115451523"/>
      </top>
      <bottom style="thick">
        <color theme="9" tint="0.399853511154515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3" borderId="2" xfId="0" applyFill="1" applyBorder="1" applyAlignment="1">
      <alignment vertical="center"/>
    </xf>
    <xf numFmtId="164" fontId="0" fillId="2" borderId="3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right" vertical="center"/>
    </xf>
    <xf numFmtId="165" fontId="0" fillId="2" borderId="4" xfId="0" applyNumberFormat="1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>
      <alignment vertical="center"/>
    </xf>
    <xf numFmtId="164" fontId="0" fillId="2" borderId="6" xfId="0" applyNumberFormat="1" applyFill="1" applyBorder="1" applyAlignment="1">
      <alignment horizontal="center" vertical="center"/>
    </xf>
    <xf numFmtId="165" fontId="0" fillId="2" borderId="7" xfId="0" applyNumberFormat="1" applyFill="1" applyBorder="1" applyAlignment="1" applyProtection="1">
      <alignment horizontal="right" vertical="center"/>
      <protection locked="0"/>
    </xf>
    <xf numFmtId="0" fontId="2" fillId="3" borderId="5" xfId="0" applyFont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165" fontId="0" fillId="3" borderId="8" xfId="0" applyNumberFormat="1" applyFill="1" applyBorder="1" applyAlignment="1">
      <alignment horizontal="right" vertical="center"/>
    </xf>
    <xf numFmtId="165" fontId="0" fillId="2" borderId="7" xfId="0" applyNumberFormat="1" applyFill="1" applyBorder="1" applyAlignment="1">
      <alignment horizontal="right" vertical="center"/>
    </xf>
    <xf numFmtId="165" fontId="0" fillId="2" borderId="8" xfId="0" applyNumberFormat="1" applyFill="1" applyBorder="1" applyAlignment="1" applyProtection="1">
      <alignment horizontal="right" vertical="center"/>
      <protection locked="0"/>
    </xf>
    <xf numFmtId="0" fontId="0" fillId="3" borderId="9" xfId="0" applyFill="1" applyBorder="1" applyAlignment="1">
      <alignment vertical="center"/>
    </xf>
    <xf numFmtId="164" fontId="0" fillId="2" borderId="10" xfId="0" applyNumberFormat="1" applyFill="1" applyBorder="1" applyAlignment="1">
      <alignment horizontal="center" vertical="center"/>
    </xf>
    <xf numFmtId="10" fontId="0" fillId="2" borderId="11" xfId="0" applyNumberFormat="1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6" fontId="0" fillId="2" borderId="0" xfId="0" applyNumberFormat="1" applyFill="1" applyAlignment="1">
      <alignment vertical="center"/>
    </xf>
    <xf numFmtId="0" fontId="2" fillId="3" borderId="2" xfId="0" applyFont="1" applyFill="1" applyBorder="1" applyAlignment="1">
      <alignment vertical="center"/>
    </xf>
    <xf numFmtId="164" fontId="0" fillId="3" borderId="12" xfId="0" applyNumberFormat="1" applyFill="1" applyBorder="1" applyAlignment="1">
      <alignment horizontal="center" vertical="center"/>
    </xf>
    <xf numFmtId="165" fontId="0" fillId="3" borderId="13" xfId="0" applyNumberFormat="1" applyFill="1" applyBorder="1" applyAlignment="1">
      <alignment horizontal="right" vertical="center"/>
    </xf>
    <xf numFmtId="0" fontId="2" fillId="3" borderId="9" xfId="0" applyFont="1" applyFill="1" applyBorder="1" applyAlignment="1">
      <alignment vertical="center"/>
    </xf>
    <xf numFmtId="165" fontId="0" fillId="2" borderId="11" xfId="0" applyNumberForma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165" fontId="0" fillId="3" borderId="0" xfId="0" applyNumberFormat="1" applyFill="1" applyAlignment="1">
      <alignment horizontal="right" vertical="center"/>
    </xf>
    <xf numFmtId="0" fontId="0" fillId="3" borderId="8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0" fillId="2" borderId="7" xfId="0" applyNumberFormat="1" applyFill="1" applyBorder="1" applyAlignment="1" applyProtection="1">
      <alignment vertical="center"/>
      <protection locked="0"/>
    </xf>
    <xf numFmtId="165" fontId="0" fillId="2" borderId="7" xfId="0" applyNumberFormat="1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165" fontId="0" fillId="2" borderId="15" xfId="0" applyNumberFormat="1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165" fontId="0" fillId="2" borderId="11" xfId="0" applyNumberForma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165" fontId="4" fillId="2" borderId="18" xfId="0" applyNumberFormat="1" applyFont="1" applyFill="1" applyBorder="1" applyAlignment="1">
      <alignment horizontal="right" vertical="center"/>
    </xf>
    <xf numFmtId="0" fontId="0" fillId="2" borderId="0" xfId="0" applyFill="1" applyAlignment="1" applyProtection="1">
      <alignment vertical="center"/>
    </xf>
    <xf numFmtId="10" fontId="0" fillId="2" borderId="0" xfId="0" applyNumberFormat="1" applyFill="1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165" fontId="0" fillId="2" borderId="0" xfId="0" applyNumberFormat="1" applyFill="1" applyAlignment="1" applyProtection="1">
      <alignment horizontal="center" vertical="center"/>
    </xf>
    <xf numFmtId="166" fontId="0" fillId="2" borderId="0" xfId="0" applyNumberForma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</xf>
    <xf numFmtId="10" fontId="7" fillId="2" borderId="0" xfId="0" applyNumberFormat="1" applyFont="1" applyFill="1" applyAlignment="1" applyProtection="1">
      <alignment horizontal="center" vertical="center"/>
    </xf>
    <xf numFmtId="165" fontId="7" fillId="2" borderId="0" xfId="0" applyNumberFormat="1" applyFont="1" applyFill="1" applyAlignment="1" applyProtection="1">
      <alignment horizontal="center" vertical="center"/>
    </xf>
    <xf numFmtId="165" fontId="7" fillId="2" borderId="0" xfId="0" applyNumberFormat="1" applyFont="1" applyFill="1" applyAlignment="1" applyProtection="1">
      <alignment vertical="center"/>
    </xf>
    <xf numFmtId="10" fontId="7" fillId="4" borderId="0" xfId="0" applyNumberFormat="1" applyFont="1" applyFill="1" applyAlignment="1" applyProtection="1">
      <alignment horizontal="center" vertical="center"/>
    </xf>
    <xf numFmtId="10" fontId="7" fillId="4" borderId="19" xfId="0" applyNumberFormat="1" applyFont="1" applyFill="1" applyBorder="1" applyAlignment="1" applyProtection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right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165" fontId="1" fillId="5" borderId="0" xfId="0" applyNumberFormat="1" applyFont="1" applyFill="1" applyAlignment="1">
      <alignment horizontal="center" vertical="center"/>
    </xf>
    <xf numFmtId="167" fontId="0" fillId="2" borderId="7" xfId="0" applyNumberFormat="1" applyFill="1" applyBorder="1" applyAlignment="1" applyProtection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10" fontId="0" fillId="2" borderId="0" xfId="0" applyNumberFormat="1" applyFont="1" applyFill="1" applyAlignment="1" applyProtection="1">
      <alignment horizontal="center" vertical="center"/>
    </xf>
    <xf numFmtId="10" fontId="0" fillId="2" borderId="0" xfId="0" applyNumberFormat="1" applyFill="1" applyAlignment="1" applyProtection="1">
      <alignment horizontal="left" vertical="center"/>
    </xf>
    <xf numFmtId="165" fontId="0" fillId="2" borderId="0" xfId="0" applyNumberFormat="1" applyFill="1" applyAlignment="1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0" fontId="6" fillId="2" borderId="1" xfId="0" applyNumberFormat="1" applyFont="1" applyFill="1" applyBorder="1" applyAlignment="1" applyProtection="1">
      <alignment horizontal="center" vertical="center"/>
      <protection locked="0"/>
    </xf>
    <xf numFmtId="10" fontId="6" fillId="4" borderId="1" xfId="0" applyNumberFormat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10" fontId="5" fillId="5" borderId="1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10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10" fontId="6" fillId="6" borderId="1" xfId="0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4" borderId="23" xfId="0" applyNumberForma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4" borderId="24" xfId="0" applyNumberForma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164" fontId="0" fillId="2" borderId="0" xfId="0" applyNumberFormat="1" applyFill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168" fontId="6" fillId="10" borderId="1" xfId="0" applyNumberFormat="1" applyFont="1" applyFill="1" applyBorder="1" applyAlignment="1">
      <alignment horizontal="center" vertical="center" wrapText="1"/>
    </xf>
    <xf numFmtId="168" fontId="0" fillId="2" borderId="0" xfId="0" applyNumberFormat="1" applyFill="1" applyAlignment="1">
      <alignment horizontal="center" vertical="center" wrapText="1"/>
    </xf>
    <xf numFmtId="10" fontId="6" fillId="10" borderId="1" xfId="0" applyNumberFormat="1" applyFont="1" applyFill="1" applyBorder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 wrapText="1"/>
    </xf>
    <xf numFmtId="3" fontId="0" fillId="2" borderId="0" xfId="0" applyNumberFormat="1" applyFill="1" applyAlignment="1">
      <alignment horizontal="center" vertical="center" wrapText="1"/>
    </xf>
    <xf numFmtId="9" fontId="0" fillId="2" borderId="0" xfId="0" applyNumberFormat="1" applyFill="1" applyAlignment="1">
      <alignment horizontal="center" vertical="center" wrapText="1"/>
    </xf>
    <xf numFmtId="168" fontId="0" fillId="6" borderId="0" xfId="0" applyNumberFormat="1" applyFill="1" applyAlignment="1">
      <alignment horizontal="center" vertical="center" wrapText="1"/>
    </xf>
    <xf numFmtId="10" fontId="0" fillId="6" borderId="0" xfId="0" applyNumberFormat="1" applyFill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right" vertical="center" wrapText="1"/>
    </xf>
    <xf numFmtId="0" fontId="0" fillId="4" borderId="0" xfId="0" applyFill="1" applyAlignment="1">
      <alignment horizontal="right" vertical="center" wrapText="1"/>
    </xf>
    <xf numFmtId="165" fontId="0" fillId="4" borderId="0" xfId="0" applyNumberFormat="1" applyFill="1" applyAlignment="1">
      <alignment horizontal="right" vertical="center" wrapText="1"/>
    </xf>
    <xf numFmtId="164" fontId="0" fillId="4" borderId="0" xfId="0" applyNumberForma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0" fontId="0" fillId="4" borderId="0" xfId="0" applyNumberFormat="1" applyFill="1" applyAlignment="1">
      <alignment horizontal="lef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6" borderId="0" xfId="0" applyFill="1" applyAlignment="1">
      <alignment horizontal="center" vertical="center" wrapText="1"/>
    </xf>
    <xf numFmtId="49" fontId="0" fillId="6" borderId="0" xfId="0" applyNumberFormat="1" applyFill="1" applyAlignment="1">
      <alignment horizontal="center" vertical="center" wrapText="1"/>
    </xf>
    <xf numFmtId="6" fontId="0" fillId="2" borderId="0" xfId="0" applyNumberFormat="1" applyFill="1" applyAlignment="1">
      <alignment horizontal="center" vertical="center" wrapText="1"/>
    </xf>
    <xf numFmtId="168" fontId="0" fillId="6" borderId="0" xfId="0" applyNumberFormat="1" applyFill="1" applyAlignment="1" applyProtection="1">
      <alignment horizontal="center" vertical="center" wrapText="1"/>
      <protection hidden="1"/>
    </xf>
    <xf numFmtId="168" fontId="0" fillId="2" borderId="0" xfId="0" applyNumberFormat="1" applyFill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5" borderId="20" xfId="0" applyFont="1" applyFill="1" applyBorder="1" applyAlignment="1" applyProtection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165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6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5" fontId="6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quotePrefix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165" fontId="0" fillId="2" borderId="0" xfId="0" applyNumberFormat="1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10" fontId="0" fillId="3" borderId="0" xfId="0" applyNumberFormat="1" applyFill="1" applyAlignment="1" applyProtection="1">
      <alignment horizontal="center" vertical="center"/>
    </xf>
    <xf numFmtId="165" fontId="0" fillId="3" borderId="0" xfId="0" applyNumberFormat="1" applyFill="1" applyAlignment="1" applyProtection="1">
      <alignment horizontal="center" vertical="center"/>
    </xf>
    <xf numFmtId="10" fontId="0" fillId="4" borderId="1" xfId="0" applyNumberFormat="1" applyFont="1" applyFill="1" applyBorder="1" applyAlignment="1" applyProtection="1">
      <alignment horizontal="center" vertical="center"/>
    </xf>
    <xf numFmtId="10" fontId="6" fillId="2" borderId="0" xfId="0" applyNumberFormat="1" applyFont="1" applyFill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14" fontId="6" fillId="6" borderId="1" xfId="0" applyNumberFormat="1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0" fontId="6" fillId="2" borderId="0" xfId="0" quotePrefix="1" applyNumberFormat="1" applyFont="1" applyFill="1" applyAlignment="1" applyProtection="1">
      <alignment horizontal="center" vertical="center"/>
    </xf>
    <xf numFmtId="0" fontId="5" fillId="5" borderId="1" xfId="0" applyFont="1" applyFill="1" applyBorder="1" applyAlignment="1" applyProtection="1">
      <alignment vertical="center"/>
    </xf>
    <xf numFmtId="0" fontId="5" fillId="7" borderId="1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vertical="center"/>
    </xf>
    <xf numFmtId="0" fontId="5" fillId="7" borderId="0" xfId="0" applyFont="1" applyFill="1" applyAlignment="1" applyProtection="1">
      <alignment horizontal="center" vertical="center" wrapText="1"/>
    </xf>
    <xf numFmtId="0" fontId="6" fillId="6" borderId="0" xfId="0" applyFont="1" applyFill="1" applyAlignment="1" applyProtection="1">
      <alignment vertical="center" wrapText="1"/>
    </xf>
    <xf numFmtId="0" fontId="6" fillId="6" borderId="0" xfId="0" applyFont="1" applyFill="1" applyAlignment="1">
      <alignment vertical="center" wrapText="1"/>
    </xf>
    <xf numFmtId="0" fontId="6" fillId="6" borderId="0" xfId="0" quotePrefix="1" applyFont="1" applyFill="1" applyAlignment="1" applyProtection="1">
      <alignment vertical="center" wrapText="1"/>
    </xf>
    <xf numFmtId="10" fontId="0" fillId="2" borderId="0" xfId="0" applyNumberFormat="1" applyFont="1" applyFill="1" applyAlignment="1" applyProtection="1">
      <alignment horizontal="left" vertical="center"/>
    </xf>
    <xf numFmtId="165" fontId="0" fillId="2" borderId="0" xfId="0" applyNumberFormat="1" applyFont="1" applyFill="1" applyAlignment="1" applyProtection="1">
      <alignment horizontal="center" vertical="center"/>
    </xf>
    <xf numFmtId="165" fontId="6" fillId="6" borderId="1" xfId="0" applyNumberFormat="1" applyFont="1" applyFill="1" applyBorder="1" applyAlignment="1" applyProtection="1">
      <alignment horizontal="center" vertical="center"/>
    </xf>
    <xf numFmtId="165" fontId="10" fillId="6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2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theme="5" tint="-0.499984740745262"/>
      </font>
      <fill>
        <patternFill>
          <bgColor theme="0"/>
        </patternFill>
      </fill>
    </dxf>
    <dxf>
      <font>
        <b/>
        <i val="0"/>
        <color theme="8" tint="-0.499984740745262"/>
      </font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theme="8" tint="-0.499984740745262"/>
      </font>
    </dxf>
    <dxf>
      <font>
        <b/>
        <i/>
        <color theme="0"/>
      </font>
      <fill>
        <patternFill>
          <bgColor rgb="FFFF0000"/>
        </patternFill>
      </fill>
    </dxf>
    <dxf>
      <font>
        <b val="0"/>
        <i val="0"/>
        <color theme="1"/>
      </font>
      <fill>
        <patternFill>
          <bgColor theme="0" tint="-0.14996795556505021"/>
        </patternFill>
      </fill>
    </dxf>
    <dxf>
      <font>
        <b/>
        <i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6"/>
  <sheetViews>
    <sheetView tabSelected="1" topLeftCell="A4" workbookViewId="0">
      <selection activeCell="K33" sqref="K33"/>
    </sheetView>
  </sheetViews>
  <sheetFormatPr baseColWidth="10" defaultRowHeight="15.75" x14ac:dyDescent="0.25"/>
  <cols>
    <col min="1" max="1" width="3.5703125" style="47" customWidth="1"/>
    <col min="2" max="2" width="3.5703125" style="49" hidden="1" customWidth="1"/>
    <col min="3" max="3" width="17.140625" style="80" customWidth="1"/>
    <col min="4" max="4" width="34.7109375" style="80" customWidth="1"/>
    <col min="5" max="5" width="17.140625" style="80" customWidth="1"/>
    <col min="6" max="8" width="11.42578125" style="149" customWidth="1"/>
    <col min="9" max="9" width="17.5703125" style="48" customWidth="1"/>
    <col min="10" max="10" width="19.42578125" style="48" customWidth="1"/>
    <col min="11" max="11" width="7.85546875" style="48" customWidth="1"/>
    <col min="12" max="12" width="18.140625" style="48" customWidth="1"/>
    <col min="13" max="13" width="10.42578125" style="48" customWidth="1"/>
    <col min="14" max="14" width="3.5703125" style="48" customWidth="1"/>
    <col min="15" max="15" width="3.42578125" style="1" customWidth="1"/>
    <col min="16" max="16" width="45.7109375" style="1" customWidth="1"/>
    <col min="17" max="17" width="5" style="2" customWidth="1"/>
    <col min="18" max="18" width="17.140625" style="1" customWidth="1"/>
    <col min="19" max="19" width="3.42578125" style="1" customWidth="1"/>
    <col min="20" max="20" width="45.7109375" style="1" customWidth="1"/>
    <col min="21" max="21" width="5" style="2" customWidth="1"/>
    <col min="22" max="22" width="17.140625" style="3" customWidth="1"/>
    <col min="23" max="23" width="3.42578125" style="1" customWidth="1"/>
    <col min="24" max="24" width="3.5703125" style="1" customWidth="1"/>
    <col min="25" max="25" width="39.28515625" style="1" customWidth="1"/>
    <col min="26" max="28" width="11.42578125" style="1" customWidth="1"/>
    <col min="29" max="29" width="4.7109375" style="1" customWidth="1"/>
    <col min="30" max="33" width="11.42578125" style="1" customWidth="1"/>
    <col min="34" max="16384" width="11.42578125" style="1"/>
  </cols>
  <sheetData>
    <row r="1" spans="2:31" x14ac:dyDescent="0.25">
      <c r="O1" s="58"/>
      <c r="P1" s="58"/>
      <c r="Q1" s="60"/>
      <c r="R1" s="58"/>
      <c r="S1" s="58"/>
      <c r="T1" s="58"/>
      <c r="U1" s="60"/>
      <c r="V1" s="59"/>
      <c r="W1" s="58"/>
    </row>
    <row r="2" spans="2:31" ht="18.75" customHeight="1" x14ac:dyDescent="0.25">
      <c r="B2" s="47"/>
      <c r="C2" s="118" t="s">
        <v>0</v>
      </c>
      <c r="D2" s="118"/>
      <c r="E2" s="140"/>
      <c r="F2" s="126" t="s">
        <v>1</v>
      </c>
      <c r="G2" s="126"/>
      <c r="H2" s="150"/>
      <c r="I2" s="47"/>
      <c r="O2" s="61"/>
      <c r="P2" s="64" t="s">
        <v>136</v>
      </c>
      <c r="Q2" s="63"/>
      <c r="R2" s="65" t="s">
        <v>144</v>
      </c>
      <c r="S2" s="61"/>
      <c r="T2" s="66" t="str">
        <f ca="1">IF(ISERROR(IF(R35&gt;0,"AUTOLIQUIDACIÓN NO EXENTA, usar ALISe","")),"SUJETO NO ENCONTRADO",IF(R35&gt;0,"AUTOLIQUIDACIÓN NO EXENTA, usar ALISe",""))</f>
        <v/>
      </c>
      <c r="U2" s="63"/>
      <c r="V2" s="62"/>
      <c r="W2" s="61"/>
      <c r="Y2" s="119" t="s">
        <v>2</v>
      </c>
      <c r="Z2" s="120"/>
      <c r="AA2" s="120"/>
      <c r="AB2" s="120"/>
    </row>
    <row r="3" spans="2:31" x14ac:dyDescent="0.25">
      <c r="B3" s="47"/>
      <c r="C3" s="151">
        <f ca="1">TODAY()</f>
        <v>44530</v>
      </c>
      <c r="D3" s="152"/>
      <c r="E3" s="153"/>
      <c r="F3" s="154" t="s">
        <v>3</v>
      </c>
      <c r="G3" s="154"/>
      <c r="H3" s="154"/>
      <c r="I3" s="47"/>
      <c r="O3" s="58"/>
      <c r="P3" s="58"/>
      <c r="Q3" s="60"/>
      <c r="R3" s="58"/>
      <c r="S3" s="58"/>
      <c r="T3" s="58"/>
      <c r="U3" s="60"/>
      <c r="V3" s="59"/>
      <c r="W3" s="58"/>
      <c r="Y3" s="4" t="s">
        <v>4</v>
      </c>
      <c r="Z3" s="5" t="s">
        <v>5</v>
      </c>
      <c r="AA3" s="5" t="s">
        <v>6</v>
      </c>
      <c r="AB3" s="5" t="s">
        <v>7</v>
      </c>
      <c r="AD3" s="6"/>
      <c r="AE3" s="7" t="s">
        <v>8</v>
      </c>
    </row>
    <row r="4" spans="2:31" ht="16.5" thickBot="1" x14ac:dyDescent="0.3">
      <c r="B4" s="47"/>
      <c r="E4" s="155"/>
      <c r="F4" s="80"/>
      <c r="G4" s="80"/>
      <c r="H4" s="80"/>
      <c r="I4" s="47"/>
      <c r="O4" s="8"/>
      <c r="P4" s="9" t="s">
        <v>9</v>
      </c>
      <c r="Q4" s="9"/>
      <c r="R4" s="9" t="s">
        <v>10</v>
      </c>
      <c r="S4" s="8"/>
      <c r="T4" s="9" t="s">
        <v>9</v>
      </c>
      <c r="U4" s="9"/>
      <c r="V4" s="9" t="s">
        <v>10</v>
      </c>
      <c r="W4" s="8"/>
      <c r="Y4" s="4" t="s">
        <v>3</v>
      </c>
      <c r="Z4" s="4">
        <v>1</v>
      </c>
      <c r="AA4" s="4">
        <v>1.5882000000000001</v>
      </c>
      <c r="AB4" s="4">
        <v>2</v>
      </c>
      <c r="AD4" s="10" t="s">
        <v>5</v>
      </c>
      <c r="AE4" s="7" t="s">
        <v>11</v>
      </c>
    </row>
    <row r="5" spans="2:31" ht="15" customHeight="1" x14ac:dyDescent="0.25">
      <c r="B5" s="47"/>
      <c r="C5" s="118" t="s">
        <v>12</v>
      </c>
      <c r="D5" s="118"/>
      <c r="E5" s="121" t="s">
        <v>283</v>
      </c>
      <c r="F5" s="156"/>
      <c r="G5" s="157"/>
      <c r="H5" s="158"/>
      <c r="I5" s="47"/>
      <c r="J5" s="47"/>
      <c r="K5" s="47"/>
      <c r="L5" s="47"/>
      <c r="O5" s="8"/>
      <c r="P5" s="11" t="s">
        <v>13</v>
      </c>
      <c r="Q5" s="12">
        <v>1</v>
      </c>
      <c r="R5" s="13">
        <f>C6</f>
        <v>150000</v>
      </c>
      <c r="S5" s="8"/>
      <c r="T5" s="11" t="s">
        <v>14</v>
      </c>
      <c r="U5" s="12">
        <v>22</v>
      </c>
      <c r="V5" s="14"/>
      <c r="W5" s="8"/>
      <c r="Y5" s="4" t="s">
        <v>15</v>
      </c>
      <c r="Z5" s="4">
        <v>1</v>
      </c>
      <c r="AA5" s="4">
        <v>1.6676</v>
      </c>
      <c r="AB5" s="4">
        <v>2.1</v>
      </c>
      <c r="AD5" s="10" t="s">
        <v>6</v>
      </c>
      <c r="AE5" s="7" t="s">
        <v>16</v>
      </c>
    </row>
    <row r="6" spans="2:31" x14ac:dyDescent="0.25">
      <c r="B6" s="47"/>
      <c r="C6" s="123">
        <v>150000</v>
      </c>
      <c r="D6" s="124"/>
      <c r="E6" s="72" t="s">
        <v>146</v>
      </c>
      <c r="F6" s="73">
        <f>1/2</f>
        <v>0.5</v>
      </c>
      <c r="G6" s="159" t="s">
        <v>282</v>
      </c>
      <c r="H6" s="74">
        <f>I6</f>
        <v>0.25</v>
      </c>
      <c r="I6" s="48">
        <f>IF(E6="Indicar %",F6,VLOOKUP(E6,AD22:AE24,2,0))</f>
        <v>0.25</v>
      </c>
      <c r="J6" s="47"/>
      <c r="K6" s="47"/>
      <c r="L6" s="47"/>
      <c r="O6" s="8"/>
      <c r="P6" s="15" t="s">
        <v>17</v>
      </c>
      <c r="Q6" s="16">
        <v>2</v>
      </c>
      <c r="R6" s="17"/>
      <c r="S6" s="8"/>
      <c r="T6" s="15" t="s">
        <v>18</v>
      </c>
      <c r="U6" s="16">
        <v>13</v>
      </c>
      <c r="V6" s="17"/>
      <c r="W6" s="8"/>
      <c r="Y6" s="4" t="s">
        <v>19</v>
      </c>
      <c r="Z6" s="4">
        <v>1</v>
      </c>
      <c r="AA6" s="4">
        <v>1.7471000000000001</v>
      </c>
      <c r="AB6" s="4">
        <v>2.2000000000000002</v>
      </c>
      <c r="AD6" s="10" t="s">
        <v>7</v>
      </c>
      <c r="AE6" s="7" t="s">
        <v>20</v>
      </c>
    </row>
    <row r="7" spans="2:31" x14ac:dyDescent="0.25">
      <c r="E7" s="155"/>
      <c r="O7" s="8"/>
      <c r="P7" s="15" t="s">
        <v>21</v>
      </c>
      <c r="Q7" s="16">
        <v>3</v>
      </c>
      <c r="R7" s="17"/>
      <c r="S7" s="8"/>
      <c r="T7" s="18" t="s">
        <v>22</v>
      </c>
      <c r="U7" s="19"/>
      <c r="V7" s="20"/>
      <c r="W7" s="8"/>
      <c r="Y7" s="4" t="s">
        <v>23</v>
      </c>
      <c r="Z7" s="4">
        <v>1</v>
      </c>
      <c r="AA7" s="4">
        <v>1.9058999999999999</v>
      </c>
      <c r="AB7" s="4">
        <v>2.4</v>
      </c>
    </row>
    <row r="8" spans="2:31" ht="15" customHeight="1" x14ac:dyDescent="0.25">
      <c r="B8" s="47"/>
      <c r="C8" s="118" t="s">
        <v>24</v>
      </c>
      <c r="D8" s="118"/>
      <c r="E8" s="82" t="s">
        <v>25</v>
      </c>
      <c r="F8" s="160" t="s">
        <v>26</v>
      </c>
      <c r="H8" s="161" t="s">
        <v>27</v>
      </c>
      <c r="I8" s="48" t="s">
        <v>115</v>
      </c>
      <c r="J8" s="145" t="s">
        <v>27</v>
      </c>
      <c r="K8" s="47"/>
      <c r="L8" s="47"/>
      <c r="O8" s="8"/>
      <c r="P8" s="18" t="s">
        <v>28</v>
      </c>
      <c r="Q8" s="16">
        <v>4</v>
      </c>
      <c r="R8" s="21">
        <f>R5+R6-R7</f>
        <v>150000</v>
      </c>
      <c r="S8" s="8"/>
      <c r="T8" s="15" t="s">
        <v>29</v>
      </c>
      <c r="U8" s="19" t="s">
        <v>30</v>
      </c>
      <c r="V8" s="22"/>
      <c r="W8" s="8"/>
    </row>
    <row r="9" spans="2:31" x14ac:dyDescent="0.25">
      <c r="B9" s="47"/>
      <c r="C9" s="125">
        <v>26424</v>
      </c>
      <c r="D9" s="124"/>
      <c r="E9" s="75">
        <f ca="1">IF(ISBLANK(C9),"",IF(AND(G23=100%,H23=100%),TRUNC(YEARFRAC(C3,C9)),""))</f>
        <v>49</v>
      </c>
      <c r="F9" s="74">
        <f ca="1">IF(ISBLANK(C9),0,IF(AND(G23=100%,H23=100%),IF((89-E9)&gt;70,70,IF((89-E9)&lt;10,10,(89-E9)))/100,""))</f>
        <v>0.4</v>
      </c>
      <c r="G9" s="159" t="s">
        <v>282</v>
      </c>
      <c r="H9" s="81">
        <f ca="1">IF(ISBLANK(C9),"",IF(AND(G23=100%,H23=100%),1-F9,""))</f>
        <v>0.6</v>
      </c>
      <c r="I9" s="50">
        <f ca="1">R16*F9</f>
        <v>61200</v>
      </c>
      <c r="J9" s="144">
        <f ca="1">R16-I9</f>
        <v>91800</v>
      </c>
      <c r="K9" s="47"/>
      <c r="L9" s="47"/>
      <c r="O9" s="8"/>
      <c r="P9" s="15" t="s">
        <v>31</v>
      </c>
      <c r="Q9" s="16">
        <v>5</v>
      </c>
      <c r="R9" s="17">
        <v>3000</v>
      </c>
      <c r="S9" s="8"/>
      <c r="T9" s="15" t="s">
        <v>32</v>
      </c>
      <c r="U9" s="19" t="s">
        <v>33</v>
      </c>
      <c r="V9" s="22"/>
      <c r="W9" s="8"/>
    </row>
    <row r="10" spans="2:31" x14ac:dyDescent="0.25">
      <c r="B10" s="47"/>
      <c r="F10" s="80"/>
      <c r="G10" s="80"/>
      <c r="H10" s="80"/>
      <c r="I10" s="47"/>
      <c r="J10" s="47"/>
      <c r="K10" s="47"/>
      <c r="L10" s="47"/>
      <c r="O10" s="8"/>
      <c r="P10" s="18" t="s">
        <v>34</v>
      </c>
      <c r="Q10" s="16">
        <v>6</v>
      </c>
      <c r="R10" s="21">
        <f>R8+R9</f>
        <v>153000</v>
      </c>
      <c r="S10" s="8"/>
      <c r="T10" s="15" t="s">
        <v>35</v>
      </c>
      <c r="U10" s="16">
        <v>14</v>
      </c>
      <c r="V10" s="17"/>
      <c r="W10" s="8"/>
      <c r="Y10" s="5" t="s">
        <v>36</v>
      </c>
      <c r="Z10" s="5" t="s">
        <v>37</v>
      </c>
      <c r="AA10" s="5" t="s">
        <v>37</v>
      </c>
      <c r="AB10" s="1" t="s">
        <v>38</v>
      </c>
    </row>
    <row r="11" spans="2:31" ht="16.5" thickBot="1" x14ac:dyDescent="0.3">
      <c r="C11" s="82" t="s">
        <v>39</v>
      </c>
      <c r="D11" s="82" t="s">
        <v>40</v>
      </c>
      <c r="E11" s="82" t="s">
        <v>276</v>
      </c>
      <c r="F11" s="76" t="s">
        <v>128</v>
      </c>
      <c r="G11" s="76" t="s">
        <v>129</v>
      </c>
      <c r="H11" s="76" t="s">
        <v>130</v>
      </c>
      <c r="I11" s="48" t="s">
        <v>41</v>
      </c>
      <c r="J11" s="48" t="s">
        <v>37</v>
      </c>
      <c r="K11" s="48" t="s">
        <v>42</v>
      </c>
      <c r="L11" s="48" t="s">
        <v>43</v>
      </c>
      <c r="O11" s="8"/>
      <c r="P11" s="15"/>
      <c r="Q11" s="19"/>
      <c r="R11" s="20"/>
      <c r="S11" s="8"/>
      <c r="T11" s="23" t="s">
        <v>44</v>
      </c>
      <c r="U11" s="24">
        <v>15</v>
      </c>
      <c r="V11" s="25">
        <f>IF(ISERROR(V10/V6),0,V10/V6)</f>
        <v>0</v>
      </c>
      <c r="W11" s="8"/>
      <c r="Y11" s="5" t="s">
        <v>45</v>
      </c>
      <c r="Z11" s="5" t="s">
        <v>46</v>
      </c>
      <c r="AA11" s="5" t="s">
        <v>5</v>
      </c>
    </row>
    <row r="12" spans="2:31" ht="16.5" thickBot="1" x14ac:dyDescent="0.3">
      <c r="C12" s="75" t="s">
        <v>158</v>
      </c>
      <c r="D12" s="72" t="s">
        <v>47</v>
      </c>
      <c r="E12" s="169"/>
      <c r="F12" s="73"/>
      <c r="G12" s="73">
        <v>1</v>
      </c>
      <c r="H12" s="73"/>
      <c r="I12" s="50">
        <f>VLOOKUP(D12,$Y$12:$AB$29,4,0)</f>
        <v>1000000</v>
      </c>
      <c r="J12" s="48" t="str">
        <f>VLOOKUP(D12,$Y$11:$AA$29,3,0)</f>
        <v>GRUPO I / II</v>
      </c>
      <c r="K12" s="51">
        <f>VLOOKUP($F$3,$Y$4:AB7,VLOOKUP(J12,$AD$4:$AE$6,2,0),0)</f>
        <v>1</v>
      </c>
      <c r="L12" s="48">
        <f ca="1">IF($J$26="SI",F12,IF($J$27="SI",(G12*$F$9)+(H12*$H$9),(F12*$H$9)+(G12*$F$9*$H$6)+(H12*$F$9*(1-$H$6))))</f>
        <v>0.1</v>
      </c>
      <c r="O12" s="8"/>
      <c r="P12" s="15" t="s">
        <v>48</v>
      </c>
      <c r="Q12" s="16">
        <v>7</v>
      </c>
      <c r="R12" s="17"/>
      <c r="S12" s="8"/>
      <c r="T12" s="8"/>
      <c r="U12" s="19"/>
      <c r="V12" s="26"/>
      <c r="W12" s="8"/>
      <c r="Y12" s="5" t="s">
        <v>49</v>
      </c>
      <c r="Z12" s="5" t="s">
        <v>50</v>
      </c>
      <c r="AA12" s="5" t="s">
        <v>5</v>
      </c>
      <c r="AB12" s="27">
        <v>1000000</v>
      </c>
    </row>
    <row r="13" spans="2:31" x14ac:dyDescent="0.25">
      <c r="C13" s="75" t="s">
        <v>159</v>
      </c>
      <c r="D13" s="77" t="s">
        <v>55</v>
      </c>
      <c r="E13" s="170"/>
      <c r="F13" s="73">
        <v>0.5</v>
      </c>
      <c r="G13" s="78"/>
      <c r="H13" s="78">
        <v>0.5</v>
      </c>
      <c r="I13" s="50">
        <f t="shared" ref="I13:I21" si="0">VLOOKUP(D13,$Y$12:$AB$29,4,0)</f>
        <v>1000000</v>
      </c>
      <c r="J13" s="48" t="str">
        <f t="shared" ref="J13:J21" si="1">VLOOKUP(D13,$Y$11:$AA$29,3,0)</f>
        <v>GRUPO I / II</v>
      </c>
      <c r="K13" s="51">
        <f>VLOOKUP($F$3,$Y$4:AB8,VLOOKUP(J13,$AD$4:$AE$6,2,0),0)</f>
        <v>1</v>
      </c>
      <c r="L13" s="48">
        <f t="shared" ref="L13:L21" ca="1" si="2">IF($J$26="SI",F13,IF($J$27="SI",(G13*$F$9)+(H13*$H$9),(F13*$H$9)+(G13*$F$9*$H$6)+(H13*$F$9*(1-$H$6))))</f>
        <v>0.45</v>
      </c>
      <c r="O13" s="8"/>
      <c r="P13" s="15" t="s">
        <v>51</v>
      </c>
      <c r="Q13" s="16">
        <v>8</v>
      </c>
      <c r="R13" s="17"/>
      <c r="S13" s="8"/>
      <c r="T13" s="28" t="s">
        <v>22</v>
      </c>
      <c r="U13" s="29"/>
      <c r="V13" s="30"/>
      <c r="W13" s="8"/>
      <c r="Y13" s="5" t="s">
        <v>47</v>
      </c>
      <c r="Z13" s="5" t="s">
        <v>50</v>
      </c>
      <c r="AA13" s="5" t="s">
        <v>5</v>
      </c>
      <c r="AB13" s="27">
        <v>1000000</v>
      </c>
    </row>
    <row r="14" spans="2:31" x14ac:dyDescent="0.25">
      <c r="C14" s="75" t="s">
        <v>160</v>
      </c>
      <c r="D14" s="77" t="s">
        <v>55</v>
      </c>
      <c r="E14" s="170"/>
      <c r="F14" s="73">
        <v>0.5</v>
      </c>
      <c r="G14" s="78"/>
      <c r="H14" s="78">
        <v>0.5</v>
      </c>
      <c r="I14" s="50">
        <f t="shared" si="0"/>
        <v>1000000</v>
      </c>
      <c r="J14" s="48" t="str">
        <f t="shared" si="1"/>
        <v>GRUPO I / II</v>
      </c>
      <c r="K14" s="51">
        <f>VLOOKUP($F$3,$Y$4:AB9,VLOOKUP(J14,$AD$4:$AE$6,2,0),0)</f>
        <v>1</v>
      </c>
      <c r="L14" s="48">
        <f t="shared" ca="1" si="2"/>
        <v>0.45</v>
      </c>
      <c r="O14" s="8"/>
      <c r="P14" s="15" t="s">
        <v>52</v>
      </c>
      <c r="Q14" s="16">
        <v>9</v>
      </c>
      <c r="R14" s="17"/>
      <c r="S14" s="8"/>
      <c r="T14" s="15" t="s">
        <v>29</v>
      </c>
      <c r="U14" s="19"/>
      <c r="V14" s="22"/>
      <c r="W14" s="8"/>
      <c r="Y14" s="5" t="s">
        <v>53</v>
      </c>
      <c r="Z14" s="5" t="s">
        <v>50</v>
      </c>
      <c r="AA14" s="5" t="s">
        <v>5</v>
      </c>
      <c r="AB14" s="27">
        <v>1000000</v>
      </c>
      <c r="AC14" s="7"/>
    </row>
    <row r="15" spans="2:31" x14ac:dyDescent="0.25">
      <c r="C15" s="75" t="s">
        <v>161</v>
      </c>
      <c r="D15" s="77"/>
      <c r="E15" s="170"/>
      <c r="F15" s="78"/>
      <c r="G15" s="78"/>
      <c r="H15" s="78"/>
      <c r="I15" s="50" t="e">
        <f t="shared" si="0"/>
        <v>#N/A</v>
      </c>
      <c r="J15" s="48" t="e">
        <f t="shared" si="1"/>
        <v>#N/A</v>
      </c>
      <c r="K15" s="51" t="e">
        <f>VLOOKUP($F$3,$Y$4:AB10,VLOOKUP(J15,$AD$4:$AE$6,2,0),0)</f>
        <v>#N/A</v>
      </c>
      <c r="L15" s="48">
        <f t="shared" ca="1" si="2"/>
        <v>0</v>
      </c>
      <c r="O15" s="8"/>
      <c r="P15" s="18" t="s">
        <v>54</v>
      </c>
      <c r="Q15" s="16">
        <v>10</v>
      </c>
      <c r="R15" s="21">
        <f>R12+R13+R14</f>
        <v>0</v>
      </c>
      <c r="S15" s="8"/>
      <c r="T15" s="15" t="s">
        <v>32</v>
      </c>
      <c r="U15" s="19"/>
      <c r="V15" s="22"/>
      <c r="W15" s="8"/>
      <c r="Y15" s="5" t="s">
        <v>55</v>
      </c>
      <c r="Z15" s="5" t="s">
        <v>50</v>
      </c>
      <c r="AA15" s="5" t="s">
        <v>5</v>
      </c>
      <c r="AB15" s="27">
        <v>1000000</v>
      </c>
      <c r="AC15" s="7"/>
    </row>
    <row r="16" spans="2:31" ht="16.5" thickBot="1" x14ac:dyDescent="0.3">
      <c r="C16" s="75" t="s">
        <v>162</v>
      </c>
      <c r="D16" s="77"/>
      <c r="E16" s="170"/>
      <c r="F16" s="78"/>
      <c r="G16" s="78"/>
      <c r="H16" s="78"/>
      <c r="I16" s="50" t="e">
        <f t="shared" si="0"/>
        <v>#N/A</v>
      </c>
      <c r="J16" s="48" t="e">
        <f t="shared" si="1"/>
        <v>#N/A</v>
      </c>
      <c r="K16" s="51" t="e">
        <f>VLOOKUP($F$3,$Y$4:AB11,VLOOKUP(J16,$AD$4:$AE$6,2,0),0)</f>
        <v>#N/A</v>
      </c>
      <c r="L16" s="48">
        <f t="shared" ca="1" si="2"/>
        <v>0</v>
      </c>
      <c r="O16" s="8"/>
      <c r="P16" s="31" t="s">
        <v>56</v>
      </c>
      <c r="Q16" s="24">
        <v>11</v>
      </c>
      <c r="R16" s="32">
        <f>R10-R15</f>
        <v>153000</v>
      </c>
      <c r="S16" s="8"/>
      <c r="T16" s="15"/>
      <c r="U16" s="33"/>
      <c r="V16" s="20"/>
      <c r="W16" s="8"/>
      <c r="Y16" s="5" t="s">
        <v>57</v>
      </c>
      <c r="Z16" s="5" t="s">
        <v>50</v>
      </c>
      <c r="AA16" s="5" t="s">
        <v>5</v>
      </c>
      <c r="AB16" s="27">
        <v>1000000</v>
      </c>
      <c r="AC16" s="7"/>
    </row>
    <row r="17" spans="2:33" ht="16.5" thickBot="1" x14ac:dyDescent="0.3">
      <c r="C17" s="75" t="s">
        <v>163</v>
      </c>
      <c r="D17" s="77"/>
      <c r="E17" s="170"/>
      <c r="F17" s="78"/>
      <c r="G17" s="78"/>
      <c r="H17" s="78"/>
      <c r="I17" s="50" t="e">
        <f t="shared" si="0"/>
        <v>#N/A</v>
      </c>
      <c r="J17" s="48" t="e">
        <f t="shared" si="1"/>
        <v>#N/A</v>
      </c>
      <c r="K17" s="51" t="e">
        <f>VLOOKUP($F$3,$Y$4:AB12,VLOOKUP(J17,$AD$4:$AE$6,2,0),0)</f>
        <v>#N/A</v>
      </c>
      <c r="L17" s="48">
        <f t="shared" ca="1" si="2"/>
        <v>0</v>
      </c>
      <c r="O17" s="8"/>
      <c r="P17" s="8"/>
      <c r="Q17" s="19"/>
      <c r="R17" s="34"/>
      <c r="S17" s="8"/>
      <c r="T17" s="18" t="s">
        <v>58</v>
      </c>
      <c r="U17" s="16">
        <v>30</v>
      </c>
      <c r="V17" s="21">
        <f ca="1">R35*V11</f>
        <v>0</v>
      </c>
      <c r="W17" s="8"/>
      <c r="Y17" s="5" t="s">
        <v>59</v>
      </c>
      <c r="Z17" s="5" t="s">
        <v>50</v>
      </c>
      <c r="AA17" s="5" t="s">
        <v>5</v>
      </c>
      <c r="AB17" s="27">
        <v>1000000</v>
      </c>
      <c r="AC17" s="7"/>
    </row>
    <row r="18" spans="2:33" x14ac:dyDescent="0.25">
      <c r="C18" s="75" t="s">
        <v>164</v>
      </c>
      <c r="D18" s="77"/>
      <c r="E18" s="170"/>
      <c r="F18" s="78"/>
      <c r="G18" s="78"/>
      <c r="H18" s="78"/>
      <c r="I18" s="50" t="e">
        <f t="shared" si="0"/>
        <v>#N/A</v>
      </c>
      <c r="J18" s="48" t="e">
        <f t="shared" si="1"/>
        <v>#N/A</v>
      </c>
      <c r="K18" s="51" t="e">
        <f>VLOOKUP($F$3,$Y$4:AB13,VLOOKUP(J18,$AD$4:$AE$6,2,0),0)</f>
        <v>#N/A</v>
      </c>
      <c r="L18" s="48">
        <f t="shared" ca="1" si="2"/>
        <v>0</v>
      </c>
      <c r="O18" s="8"/>
      <c r="P18" s="11" t="s">
        <v>60</v>
      </c>
      <c r="Q18" s="12">
        <v>20</v>
      </c>
      <c r="R18" s="13">
        <f ca="1">IF(L26="ERROR","",IF(J26="SI",J31,IF(J27="SI",J32,IF(J28="SI",J33,""))))</f>
        <v>15300</v>
      </c>
      <c r="S18" s="8"/>
      <c r="T18" s="15" t="s">
        <v>61</v>
      </c>
      <c r="U18" s="16">
        <v>31</v>
      </c>
      <c r="V18" s="67">
        <v>1</v>
      </c>
      <c r="W18" s="8"/>
      <c r="Y18" s="5" t="s">
        <v>62</v>
      </c>
      <c r="Z18" s="5" t="s">
        <v>50</v>
      </c>
      <c r="AA18" s="5" t="s">
        <v>5</v>
      </c>
      <c r="AB18" s="27">
        <v>1000000</v>
      </c>
      <c r="AC18" s="7"/>
    </row>
    <row r="19" spans="2:33" x14ac:dyDescent="0.25">
      <c r="C19" s="75" t="s">
        <v>165</v>
      </c>
      <c r="D19" s="77"/>
      <c r="E19" s="170"/>
      <c r="F19" s="78"/>
      <c r="G19" s="78"/>
      <c r="H19" s="78"/>
      <c r="I19" s="50" t="e">
        <f t="shared" si="0"/>
        <v>#N/A</v>
      </c>
      <c r="J19" s="48" t="e">
        <f t="shared" si="1"/>
        <v>#N/A</v>
      </c>
      <c r="K19" s="51" t="e">
        <f>VLOOKUP($F$3,$Y$4:AB14,VLOOKUP(J19,$AD$4:$AE$6,2,0),0)</f>
        <v>#N/A</v>
      </c>
      <c r="L19" s="48">
        <f t="shared" ca="1" si="2"/>
        <v>0</v>
      </c>
      <c r="O19" s="8"/>
      <c r="P19" s="15" t="s">
        <v>63</v>
      </c>
      <c r="Q19" s="16">
        <v>21</v>
      </c>
      <c r="R19" s="17"/>
      <c r="S19" s="8"/>
      <c r="T19" s="15" t="s">
        <v>64</v>
      </c>
      <c r="U19" s="16">
        <v>32</v>
      </c>
      <c r="V19" s="21">
        <f ca="1">V17*V18</f>
        <v>0</v>
      </c>
      <c r="W19" s="8"/>
      <c r="Y19" s="5" t="s">
        <v>65</v>
      </c>
      <c r="Z19" s="5" t="s">
        <v>50</v>
      </c>
      <c r="AA19" s="5" t="s">
        <v>5</v>
      </c>
      <c r="AB19" s="27">
        <v>1000000</v>
      </c>
      <c r="AC19" s="7"/>
    </row>
    <row r="20" spans="2:33" x14ac:dyDescent="0.25">
      <c r="C20" s="75" t="s">
        <v>166</v>
      </c>
      <c r="D20" s="77"/>
      <c r="E20" s="170"/>
      <c r="F20" s="78"/>
      <c r="G20" s="78"/>
      <c r="H20" s="78"/>
      <c r="I20" s="50" t="e">
        <f t="shared" si="0"/>
        <v>#N/A</v>
      </c>
      <c r="J20" s="48" t="e">
        <f t="shared" si="1"/>
        <v>#N/A</v>
      </c>
      <c r="K20" s="51" t="e">
        <f>VLOOKUP($F$3,$Y$4:AB15,VLOOKUP(J20,$AD$4:$AE$6,2,0),0)</f>
        <v>#N/A</v>
      </c>
      <c r="L20" s="48">
        <f t="shared" ca="1" si="2"/>
        <v>0</v>
      </c>
      <c r="O20" s="8"/>
      <c r="P20" s="18" t="s">
        <v>66</v>
      </c>
      <c r="Q20" s="16">
        <v>23</v>
      </c>
      <c r="R20" s="21">
        <f ca="1">R18+R19</f>
        <v>15300</v>
      </c>
      <c r="S20" s="8"/>
      <c r="T20" s="15" t="s">
        <v>67</v>
      </c>
      <c r="U20" s="16">
        <v>33</v>
      </c>
      <c r="V20" s="17"/>
      <c r="W20" s="8"/>
      <c r="Y20" s="5" t="s">
        <v>68</v>
      </c>
      <c r="Z20" s="5" t="s">
        <v>50</v>
      </c>
      <c r="AA20" s="5" t="s">
        <v>5</v>
      </c>
      <c r="AB20" s="27">
        <v>1000000</v>
      </c>
      <c r="AC20" s="7"/>
    </row>
    <row r="21" spans="2:33" x14ac:dyDescent="0.25">
      <c r="C21" s="75" t="s">
        <v>167</v>
      </c>
      <c r="D21" s="77"/>
      <c r="E21" s="170"/>
      <c r="F21" s="78"/>
      <c r="G21" s="78"/>
      <c r="H21" s="78"/>
      <c r="I21" s="50" t="e">
        <f t="shared" si="0"/>
        <v>#N/A</v>
      </c>
      <c r="J21" s="48" t="e">
        <f t="shared" si="1"/>
        <v>#N/A</v>
      </c>
      <c r="K21" s="51" t="e">
        <f>VLOOKUP($F$3,$Y$4:AB16,VLOOKUP(J21,$AD$4:$AE$6,2,0),0)</f>
        <v>#N/A</v>
      </c>
      <c r="L21" s="48">
        <f t="shared" ca="1" si="2"/>
        <v>0</v>
      </c>
      <c r="O21" s="8"/>
      <c r="P21" s="15"/>
      <c r="Q21" s="33"/>
      <c r="R21" s="35"/>
      <c r="S21" s="8"/>
      <c r="T21" s="18" t="s">
        <v>69</v>
      </c>
      <c r="U21" s="36">
        <v>34</v>
      </c>
      <c r="V21" s="21">
        <f ca="1">V20-V19</f>
        <v>0</v>
      </c>
      <c r="W21" s="8"/>
      <c r="Y21" s="5" t="s">
        <v>70</v>
      </c>
      <c r="Z21" s="5" t="s">
        <v>6</v>
      </c>
      <c r="AA21" s="5" t="s">
        <v>6</v>
      </c>
      <c r="AB21" s="37">
        <v>16000</v>
      </c>
      <c r="AC21" s="6"/>
      <c r="AD21" s="141" t="s">
        <v>145</v>
      </c>
      <c r="AE21" s="141"/>
    </row>
    <row r="22" spans="2:33" x14ac:dyDescent="0.25">
      <c r="C22" s="79"/>
      <c r="F22" s="76" t="s">
        <v>131</v>
      </c>
      <c r="G22" s="76" t="s">
        <v>132</v>
      </c>
      <c r="H22" s="76" t="s">
        <v>133</v>
      </c>
      <c r="K22" s="51"/>
      <c r="O22" s="8"/>
      <c r="P22" s="15" t="s">
        <v>71</v>
      </c>
      <c r="Q22" s="36" t="s">
        <v>72</v>
      </c>
      <c r="R22" s="38"/>
      <c r="S22" s="8"/>
      <c r="T22" s="15"/>
      <c r="U22" s="33"/>
      <c r="V22" s="20"/>
      <c r="W22" s="8"/>
      <c r="Y22" s="5" t="s">
        <v>73</v>
      </c>
      <c r="Z22" s="5" t="s">
        <v>6</v>
      </c>
      <c r="AA22" s="5" t="s">
        <v>6</v>
      </c>
      <c r="AB22" s="37">
        <v>8000</v>
      </c>
      <c r="AC22" s="6"/>
      <c r="AD22" s="142" t="s">
        <v>146</v>
      </c>
      <c r="AE22" s="141">
        <f>1/4</f>
        <v>0.25</v>
      </c>
    </row>
    <row r="23" spans="2:33" x14ac:dyDescent="0.25">
      <c r="C23" s="79"/>
      <c r="F23" s="74">
        <f>SUM(F12:F22)</f>
        <v>1</v>
      </c>
      <c r="G23" s="74">
        <f t="shared" ref="G23:H23" si="3">SUM(G12:G22)</f>
        <v>1</v>
      </c>
      <c r="H23" s="74">
        <f t="shared" si="3"/>
        <v>1</v>
      </c>
      <c r="L23" s="48">
        <f t="shared" ref="L23" ca="1" si="4">SUM(L12:L22)</f>
        <v>1</v>
      </c>
      <c r="O23" s="8"/>
      <c r="P23" s="15" t="s">
        <v>74</v>
      </c>
      <c r="Q23" s="36" t="s">
        <v>75</v>
      </c>
      <c r="R23" s="38"/>
      <c r="S23" s="8"/>
      <c r="T23" s="15" t="s">
        <v>76</v>
      </c>
      <c r="U23" s="36">
        <v>35</v>
      </c>
      <c r="V23" s="17"/>
      <c r="W23" s="8"/>
      <c r="Y23" s="5" t="s">
        <v>77</v>
      </c>
      <c r="Z23" s="5" t="s">
        <v>6</v>
      </c>
      <c r="AA23" s="5" t="s">
        <v>6</v>
      </c>
      <c r="AB23" s="37">
        <v>8000</v>
      </c>
      <c r="AC23" s="6"/>
      <c r="AD23" s="142" t="s">
        <v>147</v>
      </c>
      <c r="AE23" s="141">
        <f>1/3</f>
        <v>0.33333333333333331</v>
      </c>
    </row>
    <row r="24" spans="2:33" x14ac:dyDescent="0.25">
      <c r="B24" s="47"/>
      <c r="C24" s="162"/>
      <c r="D24" s="162"/>
      <c r="E24" s="162"/>
      <c r="F24" s="162"/>
      <c r="G24" s="162"/>
      <c r="H24" s="162"/>
      <c r="I24" s="52"/>
      <c r="J24" s="53"/>
      <c r="K24" s="53"/>
      <c r="L24" s="53"/>
      <c r="M24" s="53"/>
      <c r="O24" s="8"/>
      <c r="P24" s="15" t="s">
        <v>78</v>
      </c>
      <c r="Q24" s="36" t="s">
        <v>79</v>
      </c>
      <c r="R24" s="38"/>
      <c r="S24" s="8"/>
      <c r="T24" s="15" t="s">
        <v>80</v>
      </c>
      <c r="U24" s="36" t="s">
        <v>81</v>
      </c>
      <c r="V24" s="17"/>
      <c r="W24" s="8"/>
      <c r="Y24" s="5" t="s">
        <v>82</v>
      </c>
      <c r="Z24" s="5" t="s">
        <v>6</v>
      </c>
      <c r="AA24" s="5" t="s">
        <v>6</v>
      </c>
      <c r="AB24" s="37">
        <v>8000</v>
      </c>
      <c r="AC24" s="6"/>
      <c r="AD24" s="142" t="s">
        <v>148</v>
      </c>
      <c r="AE24" s="141">
        <f>1</f>
        <v>1</v>
      </c>
    </row>
    <row r="25" spans="2:33" x14ac:dyDescent="0.25">
      <c r="B25" s="47"/>
      <c r="C25" s="163" t="s">
        <v>137</v>
      </c>
      <c r="D25" s="131"/>
      <c r="E25" s="131"/>
      <c r="F25" s="131"/>
      <c r="G25" s="131"/>
      <c r="H25" s="131"/>
      <c r="I25" s="70" t="s">
        <v>280</v>
      </c>
      <c r="L25" s="48" t="s">
        <v>291</v>
      </c>
      <c r="M25" s="53"/>
      <c r="O25" s="8"/>
      <c r="P25" s="15" t="s">
        <v>85</v>
      </c>
      <c r="Q25" s="36" t="s">
        <v>86</v>
      </c>
      <c r="R25" s="38"/>
      <c r="S25" s="8"/>
      <c r="T25" s="15" t="s">
        <v>87</v>
      </c>
      <c r="U25" s="36" t="s">
        <v>88</v>
      </c>
      <c r="V25" s="17"/>
      <c r="W25" s="8"/>
      <c r="Y25" s="5" t="s">
        <v>89</v>
      </c>
      <c r="Z25" s="5" t="s">
        <v>6</v>
      </c>
      <c r="AA25" s="5" t="s">
        <v>6</v>
      </c>
      <c r="AB25" s="37">
        <v>8000</v>
      </c>
      <c r="AC25" s="6"/>
      <c r="AD25" s="141" t="s">
        <v>149</v>
      </c>
      <c r="AE25" s="143">
        <f>F6</f>
        <v>0.5</v>
      </c>
    </row>
    <row r="26" spans="2:33" x14ac:dyDescent="0.25">
      <c r="B26" s="47"/>
      <c r="C26" s="164" t="s">
        <v>138</v>
      </c>
      <c r="D26" s="165"/>
      <c r="E26" s="165"/>
      <c r="F26" s="165"/>
      <c r="G26" s="165"/>
      <c r="H26" s="165"/>
      <c r="I26" s="48" t="s">
        <v>277</v>
      </c>
      <c r="J26" s="48" t="str">
        <f>IF(AND(G23=0%,H23=0%),IF(F23=100%,"SI","ERROR"),"NO")</f>
        <v>NO</v>
      </c>
      <c r="L26" s="48" t="str">
        <f>IF(OR(J26="ERROR",J27="ERROR",J28="ERROR"),"ERROR","OK")</f>
        <v>OK</v>
      </c>
      <c r="M26" s="53"/>
      <c r="O26" s="8"/>
      <c r="P26" s="15" t="s">
        <v>91</v>
      </c>
      <c r="Q26" s="36" t="s">
        <v>92</v>
      </c>
      <c r="R26" s="38"/>
      <c r="S26" s="8"/>
      <c r="T26" s="15" t="s">
        <v>93</v>
      </c>
      <c r="U26" s="36" t="s">
        <v>94</v>
      </c>
      <c r="V26" s="17"/>
      <c r="W26" s="8"/>
      <c r="Y26" s="5" t="s">
        <v>95</v>
      </c>
      <c r="Z26" s="5" t="s">
        <v>6</v>
      </c>
      <c r="AA26" s="5" t="s">
        <v>6</v>
      </c>
      <c r="AB26" s="37">
        <v>8000</v>
      </c>
      <c r="AC26" s="6"/>
    </row>
    <row r="27" spans="2:33" x14ac:dyDescent="0.25">
      <c r="B27" s="47"/>
      <c r="C27" s="164" t="s">
        <v>139</v>
      </c>
      <c r="D27" s="165"/>
      <c r="E27" s="165"/>
      <c r="F27" s="165"/>
      <c r="G27" s="165"/>
      <c r="H27" s="165"/>
      <c r="I27" s="48" t="s">
        <v>279</v>
      </c>
      <c r="J27" s="48" t="str">
        <f>IF(F23=0%,IF(AND(G23=100%,H23=100%),"SI","ERROR"),"NO")</f>
        <v>NO</v>
      </c>
      <c r="M27" s="53"/>
      <c r="O27" s="8"/>
      <c r="P27" s="15" t="s">
        <v>97</v>
      </c>
      <c r="Q27" s="36" t="s">
        <v>98</v>
      </c>
      <c r="R27" s="38"/>
      <c r="S27" s="8"/>
      <c r="T27" s="15" t="s">
        <v>99</v>
      </c>
      <c r="U27" s="36" t="s">
        <v>100</v>
      </c>
      <c r="V27" s="17"/>
      <c r="W27" s="8"/>
      <c r="Y27" s="5" t="s">
        <v>101</v>
      </c>
      <c r="Z27" s="5" t="s">
        <v>6</v>
      </c>
      <c r="AA27" s="5" t="s">
        <v>6</v>
      </c>
      <c r="AB27" s="37">
        <v>8000</v>
      </c>
      <c r="AC27" s="6"/>
    </row>
    <row r="28" spans="2:33" x14ac:dyDescent="0.25">
      <c r="B28" s="47"/>
      <c r="C28" s="164" t="s">
        <v>140</v>
      </c>
      <c r="D28" s="165"/>
      <c r="E28" s="165"/>
      <c r="F28" s="165"/>
      <c r="G28" s="165"/>
      <c r="H28" s="165"/>
      <c r="I28" s="48" t="s">
        <v>278</v>
      </c>
      <c r="J28" s="48" t="str">
        <f>IF(AND(F23=100%,G23=100%,H23=100%),"SI",IF(OR(AND(F23=100%,G23=0%,H23=0%),AND(F23=0%,G23=100%,H23=100%)),"NO","ERROR"))</f>
        <v>SI</v>
      </c>
      <c r="L28" s="146" t="s">
        <v>115</v>
      </c>
      <c r="M28" s="53"/>
      <c r="O28" s="8"/>
      <c r="P28" s="18" t="s">
        <v>103</v>
      </c>
      <c r="Q28" s="36">
        <v>24</v>
      </c>
      <c r="R28" s="39">
        <f>SUM(R22:R27)</f>
        <v>0</v>
      </c>
      <c r="S28" s="8"/>
      <c r="T28" s="15"/>
      <c r="U28" s="33"/>
      <c r="V28" s="20"/>
      <c r="W28" s="8"/>
      <c r="Y28" s="5" t="s">
        <v>104</v>
      </c>
      <c r="Z28" s="5" t="s">
        <v>6</v>
      </c>
      <c r="AA28" s="5" t="s">
        <v>6</v>
      </c>
      <c r="AB28" s="37">
        <v>8000</v>
      </c>
      <c r="AC28" s="6"/>
    </row>
    <row r="29" spans="2:33" x14ac:dyDescent="0.25">
      <c r="B29" s="47"/>
      <c r="C29" s="164" t="s">
        <v>141</v>
      </c>
      <c r="D29" s="165"/>
      <c r="E29" s="165"/>
      <c r="F29" s="165"/>
      <c r="G29" s="165"/>
      <c r="H29" s="165"/>
      <c r="L29" s="147">
        <f ca="1">R16*F9</f>
        <v>61200</v>
      </c>
      <c r="M29" s="53"/>
      <c r="O29" s="8"/>
      <c r="P29" s="15" t="s">
        <v>107</v>
      </c>
      <c r="Q29" s="36" t="s">
        <v>108</v>
      </c>
      <c r="R29" s="38"/>
      <c r="S29" s="8"/>
      <c r="T29" s="15" t="s">
        <v>109</v>
      </c>
      <c r="U29" s="36">
        <v>40</v>
      </c>
      <c r="V29" s="17"/>
      <c r="W29" s="8"/>
      <c r="Y29" s="5" t="s">
        <v>110</v>
      </c>
      <c r="Z29" s="5" t="s">
        <v>7</v>
      </c>
      <c r="AA29" s="5" t="s">
        <v>7</v>
      </c>
      <c r="AB29" s="37">
        <v>0</v>
      </c>
      <c r="AC29" s="6"/>
    </row>
    <row r="30" spans="2:33" x14ac:dyDescent="0.25">
      <c r="C30" s="166" t="s">
        <v>142</v>
      </c>
      <c r="D30" s="165"/>
      <c r="E30" s="165"/>
      <c r="F30" s="165"/>
      <c r="G30" s="165"/>
      <c r="H30" s="165"/>
      <c r="I30" s="70" t="s">
        <v>281</v>
      </c>
      <c r="K30" s="48" t="s">
        <v>292</v>
      </c>
      <c r="L30" s="146" t="s">
        <v>284</v>
      </c>
      <c r="M30" s="148">
        <f>H6</f>
        <v>0.25</v>
      </c>
      <c r="O30" s="8"/>
      <c r="P30" s="15" t="s">
        <v>112</v>
      </c>
      <c r="Q30" s="36" t="s">
        <v>113</v>
      </c>
      <c r="R30" s="39">
        <f ca="1">IF(VLOOKUP(R2,C12:L21,7,0)&gt;R20,R20,VLOOKUP(R2,C12:L21,7,0))</f>
        <v>15300</v>
      </c>
      <c r="S30" s="8"/>
      <c r="T30" s="18" t="s">
        <v>114</v>
      </c>
      <c r="U30" s="36">
        <v>41</v>
      </c>
      <c r="V30" s="21">
        <f ca="1">V21-V29</f>
        <v>0</v>
      </c>
      <c r="W30" s="8"/>
    </row>
    <row r="31" spans="2:33" x14ac:dyDescent="0.25">
      <c r="C31" s="164" t="s">
        <v>143</v>
      </c>
      <c r="D31" s="165"/>
      <c r="E31" s="165"/>
      <c r="F31" s="165"/>
      <c r="G31" s="165"/>
      <c r="H31" s="165"/>
      <c r="I31" s="48" t="s">
        <v>277</v>
      </c>
      <c r="J31" s="50" t="str">
        <f>IF(J26="SI",(VLOOKUP(R2,C12:H21,3,0)+(VLOOKUP(R2,C12:H21,4,0)*(R16-I37))),"")</f>
        <v/>
      </c>
      <c r="L31" s="147">
        <f ca="1">R16*F9*H6</f>
        <v>15300</v>
      </c>
      <c r="M31" s="53"/>
      <c r="O31" s="8"/>
      <c r="P31" s="15" t="s">
        <v>118</v>
      </c>
      <c r="Q31" s="36" t="s">
        <v>119</v>
      </c>
      <c r="R31" s="38"/>
      <c r="S31" s="8"/>
      <c r="T31" s="15" t="s">
        <v>120</v>
      </c>
      <c r="U31" s="36">
        <v>36</v>
      </c>
      <c r="V31" s="21">
        <f>V24+V25</f>
        <v>0</v>
      </c>
      <c r="W31" s="8"/>
    </row>
    <row r="32" spans="2:33" x14ac:dyDescent="0.25">
      <c r="C32" s="164" t="s">
        <v>286</v>
      </c>
      <c r="D32" s="165"/>
      <c r="E32" s="165"/>
      <c r="F32" s="165"/>
      <c r="G32" s="165"/>
      <c r="H32" s="165"/>
      <c r="I32" s="48" t="s">
        <v>279</v>
      </c>
      <c r="J32" s="50" t="str">
        <f>IF(J27="SI",((VLOOKUP(R2,C12:H21,5,0)*R16*F9)+(VLOOKUP(R2,C12:H21,6,0)*R16*H9)),"")</f>
        <v/>
      </c>
      <c r="L32" s="146" t="s">
        <v>285</v>
      </c>
      <c r="M32" s="53">
        <f>1-M30</f>
        <v>0.75</v>
      </c>
      <c r="O32" s="8"/>
      <c r="P32" s="18" t="s">
        <v>121</v>
      </c>
      <c r="Q32" s="36">
        <v>25</v>
      </c>
      <c r="R32" s="39">
        <f ca="1">SUM(R29:R31)</f>
        <v>15300</v>
      </c>
      <c r="S32" s="8"/>
      <c r="T32" s="18" t="s">
        <v>122</v>
      </c>
      <c r="U32" s="36">
        <v>42</v>
      </c>
      <c r="V32" s="21">
        <f ca="1">V30-V23-V31</f>
        <v>0</v>
      </c>
      <c r="W32" s="8"/>
      <c r="Y32" s="52" t="s">
        <v>83</v>
      </c>
      <c r="Z32" s="52"/>
      <c r="AA32" s="52"/>
      <c r="AB32" s="52"/>
      <c r="AC32" s="52" t="s">
        <v>84</v>
      </c>
      <c r="AD32" s="52"/>
      <c r="AE32" s="53"/>
      <c r="AF32" s="53"/>
      <c r="AG32" s="53"/>
    </row>
    <row r="33" spans="3:33" x14ac:dyDescent="0.25">
      <c r="C33" s="164" t="s">
        <v>287</v>
      </c>
      <c r="D33" s="165"/>
      <c r="E33" s="165"/>
      <c r="F33" s="165"/>
      <c r="G33" s="165"/>
      <c r="H33" s="165"/>
      <c r="I33" s="48" t="s">
        <v>278</v>
      </c>
      <c r="J33" s="50">
        <f ca="1">IF(J28="SI",(VLOOKUP(R2,C12:H21,4,0)*R16*H9)+(VLOOKUP(R2,C12:H21,5,0)*R16*F9*H6)+(VLOOKUP(R2,C12:H21,6,0)*R16*F9*(1-H6)),"")</f>
        <v>15300</v>
      </c>
      <c r="L33" s="147">
        <f ca="1">R16*F9*(1-H6)</f>
        <v>45900</v>
      </c>
      <c r="M33" s="53"/>
      <c r="O33" s="8"/>
      <c r="P33" s="15" t="s">
        <v>124</v>
      </c>
      <c r="Q33" s="36">
        <v>26</v>
      </c>
      <c r="R33" s="38"/>
      <c r="S33" s="8"/>
      <c r="T33" s="15"/>
      <c r="U33" s="33"/>
      <c r="V33" s="20"/>
      <c r="W33" s="8"/>
      <c r="Y33" s="54" t="str">
        <f>IF(AND($F$23=100%,$G$23=0%,$H$23=0%,AF33="OK"),R16*VLOOKUP(R2,C12:L21,9,0),AF33)</f>
        <v>CON!</v>
      </c>
      <c r="Z33" s="52"/>
      <c r="AA33" s="52"/>
      <c r="AB33" s="52"/>
      <c r="AC33" s="52"/>
      <c r="AD33" s="52"/>
      <c r="AE33" s="53"/>
      <c r="AF33" s="53" t="str">
        <f>IF(G23=0%,IF(F23=100%,"OK","ERROR"),"CON!")</f>
        <v>CON!</v>
      </c>
      <c r="AG33" s="53" t="s">
        <v>90</v>
      </c>
    </row>
    <row r="34" spans="3:33" ht="16.5" thickBot="1" x14ac:dyDescent="0.3">
      <c r="J34" s="50">
        <f ca="1">(VLOOKUP(R2,C12:H21,4,0)*R16*H9)+(VLOOKUP(R2,C12:H21,5,0)*R16*F9*H6)+(VLOOKUP(R2,C12:H21,6,0)*R16*F9*(1-H6))</f>
        <v>15300</v>
      </c>
      <c r="M34" s="53"/>
      <c r="O34" s="8"/>
      <c r="P34" s="15"/>
      <c r="Q34" s="33"/>
      <c r="R34" s="35"/>
      <c r="S34" s="8"/>
      <c r="T34" s="15" t="s">
        <v>125</v>
      </c>
      <c r="U34" s="40">
        <v>37</v>
      </c>
      <c r="V34" s="41">
        <f>V26+V27</f>
        <v>0</v>
      </c>
      <c r="W34" s="8"/>
      <c r="Y34" s="52"/>
      <c r="Z34" s="52"/>
      <c r="AA34" s="52"/>
      <c r="AB34" s="52"/>
      <c r="AC34" s="52"/>
      <c r="AD34" s="52"/>
      <c r="AE34" s="53"/>
      <c r="AF34" s="53" t="str">
        <f ca="1">IF(R35=0,"OK","ALISe")</f>
        <v>OK</v>
      </c>
      <c r="AG34" s="53" t="s">
        <v>96</v>
      </c>
    </row>
    <row r="35" spans="3:33" ht="17.25" thickTop="1" thickBot="1" x14ac:dyDescent="0.3">
      <c r="I35" s="167" t="s">
        <v>288</v>
      </c>
      <c r="J35" s="69"/>
      <c r="K35" s="69"/>
      <c r="M35" s="53"/>
      <c r="O35" s="8"/>
      <c r="P35" s="31" t="s">
        <v>126</v>
      </c>
      <c r="Q35" s="42">
        <v>27</v>
      </c>
      <c r="R35" s="43">
        <f ca="1">R20-R28-R32-R33</f>
        <v>0</v>
      </c>
      <c r="S35" s="8"/>
      <c r="T35" s="44" t="s">
        <v>127</v>
      </c>
      <c r="U35" s="45">
        <v>38</v>
      </c>
      <c r="V35" s="46">
        <f ca="1">V32+V34</f>
        <v>0</v>
      </c>
      <c r="W35" s="8"/>
      <c r="Y35" s="52" t="s">
        <v>102</v>
      </c>
      <c r="Z35" s="52"/>
      <c r="AA35" s="52"/>
      <c r="AB35" s="52"/>
      <c r="AC35" s="52"/>
      <c r="AD35" s="52"/>
      <c r="AE35" s="53"/>
      <c r="AF35" s="53"/>
      <c r="AG35" s="53"/>
    </row>
    <row r="36" spans="3:33" x14ac:dyDescent="0.25">
      <c r="I36" s="69" t="s">
        <v>289</v>
      </c>
      <c r="J36" s="48" t="s">
        <v>290</v>
      </c>
      <c r="K36" s="69"/>
      <c r="L36" s="69"/>
      <c r="M36" s="53"/>
      <c r="O36" s="8"/>
      <c r="P36" s="8"/>
      <c r="Q36" s="33"/>
      <c r="R36" s="8"/>
      <c r="S36" s="8"/>
      <c r="T36" s="8"/>
      <c r="U36" s="33"/>
      <c r="V36" s="26"/>
      <c r="W36" s="8"/>
      <c r="Y36" s="52" t="s">
        <v>105</v>
      </c>
      <c r="Z36" s="52"/>
      <c r="AA36" s="52"/>
      <c r="AB36" s="52"/>
      <c r="AC36" s="52"/>
      <c r="AD36" s="52"/>
      <c r="AE36" s="53"/>
      <c r="AF36" s="53" t="str">
        <f ca="1">IF(F9&lt;10%,"ERROR",IF(F23=0%,IF(AND(G23=100%,H23=100%),"OK","ERROR"),"SIN!"))</f>
        <v>SIN!</v>
      </c>
      <c r="AG36" s="53" t="s">
        <v>106</v>
      </c>
    </row>
    <row r="37" spans="3:33" x14ac:dyDescent="0.25">
      <c r="I37" s="168">
        <f>SUM(E12:E21)</f>
        <v>0</v>
      </c>
      <c r="J37" s="168">
        <f>VLOOKUP(R2,C12:H21,3,0)</f>
        <v>0</v>
      </c>
      <c r="K37" s="69"/>
      <c r="L37" s="69"/>
      <c r="M37" s="53"/>
      <c r="Y37" s="55">
        <f>C6</f>
        <v>150000</v>
      </c>
      <c r="Z37" s="52"/>
      <c r="AA37" s="53"/>
      <c r="AB37" s="53"/>
      <c r="AC37" s="53"/>
      <c r="AD37" s="53"/>
      <c r="AE37" s="53"/>
      <c r="AF37" s="53"/>
      <c r="AG37" s="53" t="s">
        <v>111</v>
      </c>
    </row>
    <row r="38" spans="3:33" x14ac:dyDescent="0.25">
      <c r="I38" s="69"/>
      <c r="J38" s="69"/>
      <c r="K38" s="69"/>
      <c r="L38" s="69"/>
      <c r="M38" s="53"/>
      <c r="Y38" s="52" t="s">
        <v>115</v>
      </c>
      <c r="Z38" s="52"/>
      <c r="AA38" s="53"/>
      <c r="AB38" s="53" t="s">
        <v>116</v>
      </c>
      <c r="AC38" s="53" t="s">
        <v>117</v>
      </c>
      <c r="AD38" s="53"/>
      <c r="AE38" s="53"/>
      <c r="AF38" s="53"/>
      <c r="AG38" s="53"/>
    </row>
    <row r="39" spans="3:33" x14ac:dyDescent="0.25">
      <c r="I39" s="69"/>
      <c r="J39" s="69"/>
      <c r="K39" s="69"/>
      <c r="L39" s="69"/>
      <c r="M39" s="53"/>
      <c r="Y39" s="55">
        <f ca="1">Y37*F9</f>
        <v>60000</v>
      </c>
      <c r="Z39" s="52"/>
      <c r="AA39" s="53"/>
      <c r="AB39" s="53"/>
      <c r="AC39" s="53"/>
      <c r="AD39" s="54" t="str">
        <f ca="1">IF(AND($F$23=0%,$G$23=100%,$H$23=100%,AF36="OK"),R16*VLOOKUP(R2,C12:L21,9,0),AF36)</f>
        <v>SIN!</v>
      </c>
      <c r="AE39" s="53"/>
      <c r="AF39" s="53"/>
      <c r="AG39" s="53" t="s">
        <v>134</v>
      </c>
    </row>
    <row r="40" spans="3:33" x14ac:dyDescent="0.25">
      <c r="I40" s="69"/>
      <c r="J40" s="69"/>
      <c r="K40" s="69"/>
      <c r="L40" s="69"/>
      <c r="M40" s="53"/>
      <c r="Y40" s="52" t="s">
        <v>123</v>
      </c>
      <c r="Z40" s="52"/>
      <c r="AA40" s="53"/>
      <c r="AB40" s="53"/>
      <c r="AC40" s="53"/>
      <c r="AD40" s="53"/>
      <c r="AE40" s="53"/>
      <c r="AF40" s="53"/>
      <c r="AG40" s="56" t="str">
        <f ca="1">IF(OR(AF33="ERROR",AF36="ERROR"),"ERROR","OK")</f>
        <v>OK</v>
      </c>
    </row>
    <row r="41" spans="3:33" ht="16.5" thickBot="1" x14ac:dyDescent="0.3">
      <c r="I41" s="69"/>
      <c r="J41" s="69"/>
      <c r="K41" s="69"/>
      <c r="L41" s="69"/>
      <c r="M41" s="53"/>
      <c r="P41" s="48" t="s">
        <v>151</v>
      </c>
      <c r="Q41" s="48"/>
      <c r="R41" s="48"/>
      <c r="Y41" s="55">
        <f ca="1">Y37-Y39</f>
        <v>90000</v>
      </c>
      <c r="Z41" s="55">
        <f ca="1">Y37*(1-F9)</f>
        <v>90000</v>
      </c>
      <c r="AA41" s="53"/>
      <c r="AB41" s="53"/>
      <c r="AC41" s="53"/>
      <c r="AD41" s="53"/>
      <c r="AE41" s="53"/>
      <c r="AF41" s="53"/>
      <c r="AG41" s="53" t="s">
        <v>135</v>
      </c>
    </row>
    <row r="42" spans="3:33" ht="16.5" thickBot="1" x14ac:dyDescent="0.3">
      <c r="I42" s="69"/>
      <c r="J42" s="69"/>
      <c r="K42" s="69"/>
      <c r="L42" s="69"/>
      <c r="M42" s="53"/>
      <c r="P42" s="50" t="str">
        <f>Y33</f>
        <v>CON!</v>
      </c>
      <c r="Q42" s="70" t="s">
        <v>152</v>
      </c>
      <c r="R42" s="48"/>
      <c r="Y42" s="1" t="s">
        <v>150</v>
      </c>
      <c r="Z42" s="52"/>
      <c r="AA42" s="53"/>
      <c r="AB42" s="53"/>
      <c r="AC42" s="53"/>
      <c r="AD42" s="53"/>
      <c r="AE42" s="53"/>
      <c r="AF42" s="53"/>
      <c r="AG42" s="57" t="str">
        <f ca="1">IF(ISERROR(IF(R35&gt;0,"NO","SI")),"ERROR",IF(R35&gt;0,"NO","SI"))</f>
        <v>SI</v>
      </c>
    </row>
    <row r="43" spans="3:33" x14ac:dyDescent="0.25">
      <c r="I43" s="69"/>
      <c r="J43" s="69"/>
      <c r="K43" s="69"/>
      <c r="L43" s="69"/>
      <c r="M43" s="53"/>
      <c r="P43" s="50" t="str">
        <f ca="1">AD39</f>
        <v>SIN!</v>
      </c>
      <c r="Q43" s="70" t="s">
        <v>153</v>
      </c>
      <c r="R43" s="48"/>
      <c r="Y43" s="55">
        <f ca="1">IF(AND(AF33="CON!",AF36="SIN!"),Y39*I6*VLOOKUP(R2,C12:H21,4,0)+Y41*I6*VLOOKUP(R2,C12:H21,5,0),"")</f>
        <v>22500</v>
      </c>
      <c r="Z43" s="52" t="s">
        <v>156</v>
      </c>
      <c r="AA43" s="53"/>
      <c r="AB43" s="53"/>
      <c r="AC43" s="53"/>
      <c r="AD43" s="53"/>
      <c r="AE43" s="53"/>
      <c r="AF43" s="53"/>
      <c r="AG43" s="53"/>
    </row>
    <row r="44" spans="3:33" x14ac:dyDescent="0.25">
      <c r="I44" s="69"/>
      <c r="J44" s="69"/>
      <c r="K44" s="69"/>
      <c r="L44" s="69"/>
      <c r="P44" s="50">
        <f ca="1">Y45</f>
        <v>22500</v>
      </c>
      <c r="Q44" s="70" t="s">
        <v>154</v>
      </c>
      <c r="R44" s="48"/>
      <c r="Y44" s="1">
        <f ca="1">IF(AND(AF33="CON!",AF36="SIN!"),Y37*(1-I6)*VLOOKUP(R2,C12:H21,3,0),"")</f>
        <v>0</v>
      </c>
      <c r="Z44" s="1" t="s">
        <v>157</v>
      </c>
    </row>
    <row r="45" spans="3:33" x14ac:dyDescent="0.25">
      <c r="I45" s="69"/>
      <c r="J45" s="69"/>
      <c r="K45" s="69"/>
      <c r="L45" s="69"/>
      <c r="Y45" s="71">
        <f ca="1">SUM(Y43:Y44)</f>
        <v>22500</v>
      </c>
      <c r="Z45" s="1" t="s">
        <v>155</v>
      </c>
    </row>
    <row r="46" spans="3:33" x14ac:dyDescent="0.25">
      <c r="I46" s="69"/>
      <c r="J46" s="69"/>
      <c r="K46" s="69"/>
      <c r="L46" s="69"/>
    </row>
    <row r="47" spans="3:33" x14ac:dyDescent="0.25">
      <c r="I47" s="69"/>
      <c r="J47" s="69"/>
      <c r="K47" s="69"/>
      <c r="L47" s="69"/>
    </row>
    <row r="48" spans="3:33" x14ac:dyDescent="0.25">
      <c r="I48" s="69"/>
      <c r="J48" s="69"/>
      <c r="K48" s="69"/>
      <c r="L48" s="69"/>
    </row>
    <row r="49" spans="9:12" x14ac:dyDescent="0.25">
      <c r="I49" s="69"/>
      <c r="J49" s="69"/>
      <c r="K49" s="69"/>
      <c r="L49" s="69"/>
    </row>
    <row r="50" spans="9:12" x14ac:dyDescent="0.25">
      <c r="I50" s="69"/>
      <c r="J50" s="69"/>
      <c r="K50" s="69"/>
      <c r="L50" s="69"/>
    </row>
    <row r="51" spans="9:12" x14ac:dyDescent="0.25">
      <c r="I51" s="69"/>
      <c r="J51" s="69"/>
      <c r="K51" s="69"/>
      <c r="L51" s="69"/>
    </row>
    <row r="52" spans="9:12" x14ac:dyDescent="0.25">
      <c r="I52" s="69"/>
      <c r="J52" s="69"/>
      <c r="K52" s="69"/>
      <c r="L52" s="69"/>
    </row>
    <row r="53" spans="9:12" x14ac:dyDescent="0.25">
      <c r="I53" s="69"/>
      <c r="J53" s="69"/>
      <c r="K53" s="69"/>
      <c r="L53" s="69"/>
    </row>
    <row r="54" spans="9:12" x14ac:dyDescent="0.25">
      <c r="I54" s="69"/>
      <c r="J54" s="69"/>
      <c r="K54" s="69"/>
      <c r="L54" s="69"/>
    </row>
    <row r="55" spans="9:12" x14ac:dyDescent="0.25">
      <c r="I55" s="69"/>
      <c r="J55" s="69"/>
      <c r="K55" s="69"/>
      <c r="L55" s="69"/>
    </row>
    <row r="56" spans="9:12" x14ac:dyDescent="0.25">
      <c r="I56" s="69"/>
      <c r="J56" s="69"/>
      <c r="K56" s="69"/>
      <c r="L56" s="69"/>
    </row>
  </sheetData>
  <sheetProtection selectLockedCells="1"/>
  <mergeCells count="19">
    <mergeCell ref="C25:H25"/>
    <mergeCell ref="C2:D2"/>
    <mergeCell ref="Y2:AB2"/>
    <mergeCell ref="C3:D3"/>
    <mergeCell ref="C5:D5"/>
    <mergeCell ref="C6:D6"/>
    <mergeCell ref="C8:D8"/>
    <mergeCell ref="C9:D9"/>
    <mergeCell ref="F2:H2"/>
    <mergeCell ref="F3:H3"/>
    <mergeCell ref="E5:H5"/>
    <mergeCell ref="C32:H32"/>
    <mergeCell ref="C33:H33"/>
    <mergeCell ref="C26:H26"/>
    <mergeCell ref="C27:H27"/>
    <mergeCell ref="C28:H28"/>
    <mergeCell ref="C29:H29"/>
    <mergeCell ref="C30:H30"/>
    <mergeCell ref="C31:H31"/>
  </mergeCells>
  <phoneticPr fontId="8" type="noConversion"/>
  <conditionalFormatting sqref="F23">
    <cfRule type="expression" dxfId="21" priority="3">
      <formula>IF($F$23=0%,TRUE,FALSE)</formula>
    </cfRule>
    <cfRule type="expression" dxfId="20" priority="10">
      <formula>IF(OR($F$23=0%,$F$23=100%),FALSE,TRUE)</formula>
    </cfRule>
  </conditionalFormatting>
  <conditionalFormatting sqref="G23">
    <cfRule type="expression" dxfId="19" priority="2">
      <formula>IF($G$23=0%,TRUE,FALSE)</formula>
    </cfRule>
    <cfRule type="expression" dxfId="18" priority="9">
      <formula>IF(OR($G$23=0%,$G$23=100%),FALSE,TRUE)</formula>
    </cfRule>
  </conditionalFormatting>
  <conditionalFormatting sqref="H23">
    <cfRule type="expression" dxfId="17" priority="4">
      <formula>IF($H$23=0%,TRUE,FALSE)</formula>
    </cfRule>
    <cfRule type="expression" dxfId="16" priority="8">
      <formula>IF($H$23=100%,FALSE,TRUE)</formula>
    </cfRule>
  </conditionalFormatting>
  <conditionalFormatting sqref="R5:R35 V5:V35">
    <cfRule type="expression" dxfId="15" priority="11">
      <formula>IF(AND($AG$40="OK",$AG$42="SI"),FALSE,TRUE)</formula>
    </cfRule>
  </conditionalFormatting>
  <conditionalFormatting sqref="T2">
    <cfRule type="expression" dxfId="14" priority="5">
      <formula>IF($R$35&gt;0,TRUE,FALSE)</formula>
    </cfRule>
  </conditionalFormatting>
  <conditionalFormatting sqref="F6">
    <cfRule type="expression" dxfId="13" priority="1">
      <formula>IF($E$6="Indicar %",FALSE,TRUE)</formula>
    </cfRule>
  </conditionalFormatting>
  <dataValidations count="5">
    <dataValidation type="list" allowBlank="1" showInputMessage="1" showErrorMessage="1" sqref="R2" xr:uid="{00000000-0002-0000-0000-000000000000}">
      <formula1>$C$12:$C$21</formula1>
    </dataValidation>
    <dataValidation type="list" allowBlank="1" showInputMessage="1" showErrorMessage="1" sqref="D12:D21" xr:uid="{00000000-0002-0000-0000-000001000000}">
      <formula1>$Y$13:$Y$29</formula1>
    </dataValidation>
    <dataValidation type="list" allowBlank="1" showInputMessage="1" showErrorMessage="1" sqref="D22" xr:uid="{00000000-0002-0000-0000-000002000000}">
      <formula1>$Y$11:$Y$29</formula1>
    </dataValidation>
    <dataValidation type="list" allowBlank="1" showInputMessage="1" showErrorMessage="1" sqref="F3" xr:uid="{00000000-0002-0000-0000-000003000000}">
      <formula1>$Y$4:$Y$7</formula1>
    </dataValidation>
    <dataValidation type="list" allowBlank="1" showInputMessage="1" showErrorMessage="1" sqref="E6" xr:uid="{00000000-0002-0000-0000-000004000000}">
      <formula1>$AD$22:$AD$25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A167A-6B92-4914-9087-2876C5D5803D}">
  <dimension ref="B2:AB57"/>
  <sheetViews>
    <sheetView workbookViewId="0">
      <selection activeCell="E5" sqref="E5"/>
    </sheetView>
  </sheetViews>
  <sheetFormatPr baseColWidth="10" defaultRowHeight="18.75" customHeight="1" x14ac:dyDescent="0.25"/>
  <cols>
    <col min="1" max="1" width="3.5703125" style="6" customWidth="1"/>
    <col min="2" max="2" width="41.5703125" style="6" customWidth="1"/>
    <col min="3" max="3" width="22.85546875" style="6" customWidth="1"/>
    <col min="4" max="4" width="22.42578125" style="6" hidden="1" customWidth="1"/>
    <col min="5" max="5" width="25.7109375" style="6" customWidth="1"/>
    <col min="6" max="6" width="17.140625" style="6" customWidth="1"/>
    <col min="7" max="8" width="3.5703125" style="6" customWidth="1"/>
    <col min="9" max="9" width="27.140625" style="6" customWidth="1"/>
    <col min="10" max="10" width="17.85546875" style="6" customWidth="1"/>
    <col min="11" max="11" width="5" style="94" customWidth="1"/>
    <col min="12" max="12" width="10" style="6" customWidth="1"/>
    <col min="13" max="13" width="17.85546875" style="6" customWidth="1"/>
    <col min="14" max="14" width="3.5703125" style="6" customWidth="1"/>
    <col min="15" max="15" width="27.7109375" style="6" hidden="1" customWidth="1"/>
    <col min="16" max="16" width="11.42578125" style="6" hidden="1" customWidth="1"/>
    <col min="17" max="17" width="26.42578125" style="6" hidden="1" customWidth="1"/>
    <col min="18" max="19" width="11.42578125" style="6" hidden="1" customWidth="1"/>
    <col min="20" max="20" width="17.140625" style="6" hidden="1" customWidth="1"/>
    <col min="21" max="21" width="12.85546875" style="6" hidden="1" customWidth="1"/>
    <col min="22" max="22" width="19.7109375" style="6" hidden="1" customWidth="1"/>
    <col min="23" max="23" width="22.28515625" style="6" hidden="1" customWidth="1"/>
    <col min="24" max="27" width="17.140625" style="6" hidden="1" customWidth="1"/>
    <col min="28" max="28" width="17.140625" style="6" customWidth="1"/>
    <col min="29" max="29" width="11.42578125" style="6" customWidth="1"/>
    <col min="30" max="16384" width="11.42578125" style="6"/>
  </cols>
  <sheetData>
    <row r="2" spans="2:28" ht="18.75" customHeight="1" x14ac:dyDescent="0.25">
      <c r="B2" s="83" t="s">
        <v>168</v>
      </c>
      <c r="D2" s="83" t="s">
        <v>169</v>
      </c>
      <c r="E2" s="83" t="s">
        <v>1</v>
      </c>
      <c r="I2" s="136" t="s">
        <v>170</v>
      </c>
      <c r="J2" s="132"/>
      <c r="K2" s="132"/>
      <c r="L2" s="137"/>
      <c r="M2" s="84" t="s">
        <v>171</v>
      </c>
      <c r="Q2" s="119" t="s">
        <v>2</v>
      </c>
      <c r="R2" s="120"/>
      <c r="S2" s="120"/>
      <c r="T2" s="120"/>
      <c r="W2" s="10" t="s">
        <v>36</v>
      </c>
      <c r="X2" s="10" t="s">
        <v>37</v>
      </c>
      <c r="Y2" s="10" t="s">
        <v>37</v>
      </c>
      <c r="AA2" s="7" t="s">
        <v>8</v>
      </c>
      <c r="AB2" s="7"/>
    </row>
    <row r="3" spans="2:28" ht="37.5" customHeight="1" x14ac:dyDescent="0.25">
      <c r="B3" s="85">
        <f ca="1">TODAY()</f>
        <v>44530</v>
      </c>
      <c r="D3" s="6">
        <f ca="1">IF(ISBLANK(B3),"",IF(DATE(YEAR(B3),MONTH(B3),DAY(B3))&gt;DATE(YEAR(T28),MONTH(T28),DAY(T28)),2,IF(DATE(YEAR(B3),MONTH(B3),DAY(B3))&gt;DATE(YEAR(U28),MONTH(U28),DAY(U28)),3,IF(DATE(YEAR(B3),MONTH(B3),DAY(B3))&gt;DATE(YEAR(#REF!),MONTH(#REF!),DAY(#REF!)),4,IF(DATE(YEAR(B3),MONTH(B3),DAY(B3))&gt;DATE(YEAR(#REF!),MONTH(#REF!),DAY(#REF!)),5,IF(DATE(YEAR(B3),MONTH(B3),DAY(B3))&gt;DATE(YEAR(#REF!),MONTH(#REF!),DAY(#REF!)),6,IF(DATE(YEAR(B3),MONTH(B3),DAY(B3))&gt;DATE(YEAR(#REF!),MONTH(#REF!),DAY(#REF!)),7,IF(DATE(YEAR(B3),MONTH(B3),DAY(B3))&gt;DATE(YEAR(#REF!),MONTH(#REF!),DAY(#REF!)),8,9))))))))</f>
        <v>2</v>
      </c>
      <c r="E3" s="86" t="s">
        <v>3</v>
      </c>
      <c r="I3" s="138" t="s">
        <v>172</v>
      </c>
      <c r="J3" s="120"/>
      <c r="K3" s="120"/>
      <c r="L3" s="120"/>
      <c r="M3" s="87">
        <f>B5-B10</f>
        <v>7069.2799999999988</v>
      </c>
      <c r="O3" s="6" t="s">
        <v>173</v>
      </c>
      <c r="P3" s="6" t="s">
        <v>174</v>
      </c>
      <c r="Q3" s="68" t="s">
        <v>4</v>
      </c>
      <c r="R3" s="5" t="s">
        <v>5</v>
      </c>
      <c r="S3" s="5" t="s">
        <v>6</v>
      </c>
      <c r="T3" s="5" t="s">
        <v>7</v>
      </c>
      <c r="W3" s="10" t="s">
        <v>45</v>
      </c>
      <c r="X3" s="10" t="s">
        <v>46</v>
      </c>
      <c r="Y3" s="10" t="s">
        <v>5</v>
      </c>
      <c r="Z3" s="10" t="s">
        <v>5</v>
      </c>
      <c r="AA3" s="7" t="s">
        <v>11</v>
      </c>
      <c r="AB3" s="7"/>
    </row>
    <row r="4" spans="2:28" ht="18.75" customHeight="1" x14ac:dyDescent="0.25">
      <c r="B4" s="83" t="s">
        <v>175</v>
      </c>
      <c r="C4" s="83" t="s">
        <v>173</v>
      </c>
      <c r="E4" s="83" t="s">
        <v>176</v>
      </c>
      <c r="I4" s="139" t="s">
        <v>177</v>
      </c>
      <c r="J4" s="120"/>
      <c r="K4" s="120"/>
      <c r="L4" s="120"/>
      <c r="M4" s="87">
        <f>M3*F10</f>
        <v>901.33319999999992</v>
      </c>
      <c r="O4" s="6" t="s">
        <v>178</v>
      </c>
      <c r="P4" s="6" t="s">
        <v>179</v>
      </c>
      <c r="Q4" s="68" t="s">
        <v>3</v>
      </c>
      <c r="R4" s="68">
        <v>1</v>
      </c>
      <c r="S4" s="68">
        <v>1.5882000000000001</v>
      </c>
      <c r="T4" s="68">
        <v>2</v>
      </c>
      <c r="W4" s="10" t="s">
        <v>49</v>
      </c>
      <c r="X4" s="10" t="s">
        <v>50</v>
      </c>
      <c r="Y4" s="10" t="s">
        <v>5</v>
      </c>
      <c r="Z4" s="10" t="s">
        <v>6</v>
      </c>
      <c r="AA4" s="7" t="s">
        <v>16</v>
      </c>
      <c r="AB4" s="7"/>
    </row>
    <row r="5" spans="2:28" ht="37.5" customHeight="1" x14ac:dyDescent="0.25">
      <c r="B5" s="88">
        <v>55000</v>
      </c>
      <c r="C5" s="88" t="s">
        <v>178</v>
      </c>
      <c r="E5" s="88" t="s">
        <v>179</v>
      </c>
      <c r="I5" s="139" t="s">
        <v>182</v>
      </c>
      <c r="J5" s="120"/>
      <c r="K5" s="120"/>
      <c r="L5" s="120"/>
      <c r="M5" s="87">
        <f>C10+M4</f>
        <v>5586.4332000000004</v>
      </c>
      <c r="O5" s="6" t="s">
        <v>180</v>
      </c>
      <c r="P5" s="6" t="s">
        <v>181</v>
      </c>
      <c r="Q5" s="68" t="s">
        <v>183</v>
      </c>
      <c r="R5" s="68">
        <v>1</v>
      </c>
      <c r="S5" s="68">
        <v>1.6676</v>
      </c>
      <c r="T5" s="68">
        <v>2.1</v>
      </c>
      <c r="W5" s="10" t="s">
        <v>47</v>
      </c>
      <c r="X5" s="10" t="s">
        <v>50</v>
      </c>
      <c r="Y5" s="10" t="s">
        <v>5</v>
      </c>
      <c r="Z5" s="10" t="s">
        <v>7</v>
      </c>
      <c r="AA5" s="7" t="s">
        <v>20</v>
      </c>
      <c r="AB5" s="7"/>
    </row>
    <row r="6" spans="2:28" ht="18.75" customHeight="1" thickBot="1" x14ac:dyDescent="0.3">
      <c r="B6" s="83" t="s">
        <v>40</v>
      </c>
      <c r="C6" s="83" t="s">
        <v>184</v>
      </c>
      <c r="D6" s="83" t="s">
        <v>185</v>
      </c>
      <c r="E6" s="83" t="s">
        <v>186</v>
      </c>
      <c r="I6" s="139" t="s">
        <v>187</v>
      </c>
      <c r="J6" s="120"/>
      <c r="K6" s="120"/>
      <c r="L6" s="120"/>
      <c r="M6" s="89">
        <f>IF(B7="","",M5*E7)</f>
        <v>8872.3732082400002</v>
      </c>
      <c r="O6" s="6" t="s">
        <v>188</v>
      </c>
      <c r="Q6" s="68" t="s">
        <v>189</v>
      </c>
      <c r="R6" s="68">
        <v>1</v>
      </c>
      <c r="S6" s="68">
        <v>1.7471000000000001</v>
      </c>
      <c r="T6" s="68">
        <v>2.2000000000000002</v>
      </c>
      <c r="W6" s="10" t="s">
        <v>53</v>
      </c>
      <c r="X6" s="10" t="s">
        <v>50</v>
      </c>
      <c r="Y6" s="10" t="s">
        <v>5</v>
      </c>
      <c r="AA6" s="7"/>
      <c r="AB6" s="7"/>
    </row>
    <row r="7" spans="2:28" ht="37.5" customHeight="1" thickBot="1" x14ac:dyDescent="0.3">
      <c r="B7" s="90" t="s">
        <v>70</v>
      </c>
      <c r="C7" s="91" t="str">
        <f>IF(B7="","",VLOOKUP(B7,W3:X21,2,0))</f>
        <v>GRUPO III</v>
      </c>
      <c r="D7" s="91" t="str">
        <f>IF(B7="","",VLOOKUP(B7,W3:Y21,3,0))</f>
        <v>GRUPO III</v>
      </c>
      <c r="E7" s="91">
        <f>IF(B7="","",VLOOKUP(E3,Q4:T7,VLOOKUP(D7,Z3:AA5,2,0),0))</f>
        <v>1.5882000000000001</v>
      </c>
      <c r="I7" s="130">
        <f>M6</f>
        <v>8872.3732082400002</v>
      </c>
      <c r="J7" s="120"/>
      <c r="K7" s="120"/>
      <c r="L7" s="120"/>
      <c r="M7" s="92" t="s">
        <v>190</v>
      </c>
      <c r="Q7" s="68" t="s">
        <v>23</v>
      </c>
      <c r="R7" s="68">
        <v>1</v>
      </c>
      <c r="S7" s="68">
        <v>1.9058999999999999</v>
      </c>
      <c r="T7" s="68">
        <v>2.4</v>
      </c>
      <c r="W7" s="10" t="s">
        <v>55</v>
      </c>
      <c r="X7" s="10" t="s">
        <v>50</v>
      </c>
      <c r="Y7" s="10" t="s">
        <v>5</v>
      </c>
      <c r="AA7" s="7"/>
      <c r="AB7" s="7"/>
    </row>
    <row r="8" spans="2:28" ht="18.75" customHeight="1" x14ac:dyDescent="0.25">
      <c r="I8" s="93"/>
      <c r="W8" s="10" t="s">
        <v>57</v>
      </c>
      <c r="X8" s="10" t="s">
        <v>50</v>
      </c>
      <c r="Y8" s="10" t="s">
        <v>5</v>
      </c>
      <c r="AA8" s="7"/>
      <c r="AB8" s="7"/>
    </row>
    <row r="9" spans="2:28" ht="37.5" customHeight="1" x14ac:dyDescent="0.25">
      <c r="B9" s="95" t="s">
        <v>191</v>
      </c>
      <c r="C9" s="95" t="s">
        <v>192</v>
      </c>
      <c r="E9" s="95" t="s">
        <v>193</v>
      </c>
      <c r="F9" s="95" t="s">
        <v>194</v>
      </c>
      <c r="I9" s="131" t="s">
        <v>195</v>
      </c>
      <c r="J9" s="131"/>
      <c r="K9" s="132"/>
      <c r="L9" s="132"/>
      <c r="M9" s="132"/>
      <c r="O9" s="6" t="str">
        <f>IF(AND(D7="GRUPO I / II",C5=O5,E5="Sí"),"T2",IF(AND(D7="GRUPO I / II",OR(C5=O4,C5=O6,AND(C5=O5,E5="No"))),"T1","T3"))</f>
        <v>T3</v>
      </c>
      <c r="Q9" s="96" t="s">
        <v>191</v>
      </c>
      <c r="R9" s="96" t="s">
        <v>192</v>
      </c>
      <c r="S9" s="96" t="s">
        <v>193</v>
      </c>
      <c r="T9" s="96" t="s">
        <v>194</v>
      </c>
      <c r="W9" s="10" t="s">
        <v>59</v>
      </c>
      <c r="X9" s="10" t="s">
        <v>50</v>
      </c>
      <c r="Y9" s="10" t="s">
        <v>5</v>
      </c>
      <c r="AA9" s="7"/>
      <c r="AB9" s="7"/>
    </row>
    <row r="10" spans="2:28" ht="18.75" customHeight="1" x14ac:dyDescent="0.25">
      <c r="B10" s="97">
        <f>IF($O$11="","",VLOOKUP($O$11,$P$10:$U$57,2,0))</f>
        <v>47930.720000000001</v>
      </c>
      <c r="C10" s="97">
        <f>IF($O$11="","",VLOOKUP($O$11,$P$10:$U$57,3,0))</f>
        <v>4685.1000000000004</v>
      </c>
      <c r="D10" s="98"/>
      <c r="E10" s="97">
        <f>IF($O$11="","",VLOOKUP($O$11,$P$10:$U$57,4,0))</f>
        <v>7987.45</v>
      </c>
      <c r="F10" s="99">
        <f>IF($O$11="","",VLOOKUP($O$11,$P$10:$U$57,5,0))</f>
        <v>0.1275</v>
      </c>
      <c r="I10" s="133" t="s">
        <v>196</v>
      </c>
      <c r="J10" s="134"/>
      <c r="K10" s="134"/>
      <c r="L10" s="134"/>
      <c r="M10" s="134"/>
      <c r="O10" s="6" t="str">
        <f>IF(B5&lt;B14,"F1",IF(B5&lt;B15,"F2",IF(B5&lt;B16,"F3",IF(B5&lt;B17,"F4",IF(B5&lt;B18,"F5",IF(B5&lt;B19,"F6",IF(B5&lt;B20,"F7",IF(B5&lt;B21,"F8",IF(B5&lt;B22,"F9",IF(B5&lt;B23,"F10",IF(B5&lt;B24,"F11",IF(B5&lt;B25,"F12",IF(B5&lt;B26,"F13",IF(B5&lt;B27,"F14",IF(B5&lt;B28,"F15","F16")))))))))))))))</f>
        <v>F7</v>
      </c>
      <c r="P10" s="6" t="s">
        <v>197</v>
      </c>
      <c r="Q10" s="98">
        <v>0</v>
      </c>
      <c r="R10" s="98">
        <v>0</v>
      </c>
      <c r="S10" s="98">
        <v>50000</v>
      </c>
      <c r="T10" s="100">
        <v>0.05</v>
      </c>
      <c r="U10" s="6">
        <v>0.05</v>
      </c>
      <c r="W10" s="10" t="s">
        <v>62</v>
      </c>
      <c r="X10" s="10" t="s">
        <v>50</v>
      </c>
      <c r="Y10" s="10" t="s">
        <v>5</v>
      </c>
      <c r="AA10" s="7"/>
      <c r="AB10" s="7"/>
    </row>
    <row r="11" spans="2:28" ht="18.75" customHeight="1" x14ac:dyDescent="0.25">
      <c r="E11" s="101"/>
      <c r="F11" s="102"/>
      <c r="I11" s="134"/>
      <c r="J11" s="134"/>
      <c r="K11" s="134"/>
      <c r="L11" s="134"/>
      <c r="M11" s="134"/>
      <c r="O11" s="6" t="str">
        <f>CONCATENATE(O9,O10)</f>
        <v>T3F7</v>
      </c>
      <c r="P11" s="6" t="s">
        <v>198</v>
      </c>
      <c r="Q11" s="98">
        <v>50000</v>
      </c>
      <c r="R11" s="98">
        <v>2500</v>
      </c>
      <c r="S11" s="98">
        <v>75000</v>
      </c>
      <c r="T11" s="100">
        <v>7.0000000000000007E-2</v>
      </c>
      <c r="U11" s="6">
        <v>7.0000000000000007E-2</v>
      </c>
      <c r="W11" s="10" t="s">
        <v>65</v>
      </c>
      <c r="X11" s="10" t="s">
        <v>50</v>
      </c>
      <c r="Y11" s="10" t="s">
        <v>5</v>
      </c>
      <c r="AA11" s="7"/>
      <c r="AB11" s="7"/>
    </row>
    <row r="12" spans="2:28" ht="37.5" customHeight="1" x14ac:dyDescent="0.25">
      <c r="B12" s="96" t="s">
        <v>191</v>
      </c>
      <c r="C12" s="96" t="s">
        <v>192</v>
      </c>
      <c r="E12" s="96" t="s">
        <v>193</v>
      </c>
      <c r="F12" s="96" t="s">
        <v>194</v>
      </c>
      <c r="I12" s="134"/>
      <c r="J12" s="134"/>
      <c r="K12" s="134"/>
      <c r="L12" s="134"/>
      <c r="M12" s="134"/>
      <c r="P12" s="101" t="s">
        <v>199</v>
      </c>
      <c r="Q12" s="98">
        <v>125000</v>
      </c>
      <c r="R12" s="98">
        <v>7750</v>
      </c>
      <c r="S12" s="98">
        <v>175000</v>
      </c>
      <c r="T12" s="100">
        <v>0.09</v>
      </c>
      <c r="U12" s="6">
        <v>0.09</v>
      </c>
      <c r="W12" s="10" t="s">
        <v>68</v>
      </c>
      <c r="X12" s="10" t="s">
        <v>50</v>
      </c>
      <c r="Y12" s="10" t="s">
        <v>5</v>
      </c>
      <c r="AA12" s="7"/>
      <c r="AB12" s="7"/>
    </row>
    <row r="13" spans="2:28" ht="18.75" customHeight="1" x14ac:dyDescent="0.25">
      <c r="B13" s="103">
        <f>IF($O$9="","",IF(ISBLANK(VLOOKUP(CONCATENATE($O$9,"F1"),$P$10:$U$57,2,0)),"",VLOOKUP(CONCATENATE($O$9,"F1"),$P$10:$U$57,2,0)))</f>
        <v>0</v>
      </c>
      <c r="C13" s="103">
        <f>IF($O$9="","",IF(ISBLANK(VLOOKUP(CONCATENATE($O$9,"F1"),$P$10:$U$57,2,0)),"",VLOOKUP(CONCATENATE($O$9,"F1"),$P$10:$U$57,3,0)))</f>
        <v>0</v>
      </c>
      <c r="D13" s="98" t="s">
        <v>200</v>
      </c>
      <c r="E13" s="103">
        <f>IF($O$9="","",IF(ISBLANK(VLOOKUP(CONCATENATE($O$9,"F1"),$P$10:$U$57,2,0)),"",VLOOKUP(CONCATENATE($O$9,"F1"),$P$10:$U$57,4,0)))</f>
        <v>7993.46</v>
      </c>
      <c r="F13" s="104">
        <f>IF($O$9="","",IF(ISBLANK(VLOOKUP(CONCATENATE($O$9,"F1"),$P$10:$U$57,2,0)),"",VLOOKUP(CONCATENATE($O$9,"F1"),$P$10:$U$57,5,0)))</f>
        <v>7.6499999999999999E-2</v>
      </c>
      <c r="I13" s="93"/>
      <c r="J13" s="93"/>
      <c r="O13" s="6" t="b">
        <f>IF(B5&lt;B14,"F1",IF(B5&lt;B15,"F2",IF(B5&lt;B16,"F3")))</f>
        <v>0</v>
      </c>
      <c r="P13" s="6" t="s">
        <v>201</v>
      </c>
      <c r="Q13" s="98">
        <v>300000</v>
      </c>
      <c r="R13" s="98">
        <v>23500</v>
      </c>
      <c r="S13" s="98">
        <v>500000</v>
      </c>
      <c r="T13" s="100">
        <v>0.11</v>
      </c>
      <c r="U13" s="6">
        <v>0.11</v>
      </c>
      <c r="W13" s="10" t="s">
        <v>70</v>
      </c>
      <c r="X13" s="10" t="s">
        <v>6</v>
      </c>
      <c r="Y13" s="10" t="s">
        <v>6</v>
      </c>
    </row>
    <row r="14" spans="2:28" ht="18.75" customHeight="1" x14ac:dyDescent="0.25">
      <c r="B14" s="103">
        <f>IF($O$9="","",IF(ISBLANK(VLOOKUP(CONCATENATE($O$9,"F2"),$P$10:$U$57,2,0)),"",VLOOKUP(CONCATENATE($O$9,"F2"),$P$10:$U$57,2,0)))</f>
        <v>7993.46</v>
      </c>
      <c r="C14" s="103">
        <f>IF($O$9="","",IF(ISBLANK(VLOOKUP(CONCATENATE($O$9,"F2"),$P$10:$U$57,2,0)),"",VLOOKUP(CONCATENATE($O$9,"F2"),$P$10:$U$57,3,0)))</f>
        <v>611.5</v>
      </c>
      <c r="D14" s="98" t="s">
        <v>202</v>
      </c>
      <c r="E14" s="103">
        <f>IF($O$9="","",IF(ISBLANK(VLOOKUP(CONCATENATE($O$9,"F2"),$P$10:$U$57,2,0)),"",VLOOKUP(CONCATENATE($O$9,"F2"),$P$10:$U$57,4,0)))</f>
        <v>7987.45</v>
      </c>
      <c r="F14" s="104">
        <f>IF($O$9="","",IF(ISBLANK(VLOOKUP(CONCATENATE($O$9,"F2"),$P$10:$U$57,2,0)),"",VLOOKUP(CONCATENATE($O$9,"F2"),$P$10:$U$57,5,0)))</f>
        <v>8.5000000000000006E-2</v>
      </c>
      <c r="I14" s="122" t="s">
        <v>203</v>
      </c>
      <c r="J14" s="122"/>
      <c r="K14" s="135"/>
      <c r="L14" s="135"/>
      <c r="M14" s="135"/>
      <c r="P14" s="6" t="s">
        <v>204</v>
      </c>
      <c r="Q14" s="98">
        <v>800000</v>
      </c>
      <c r="R14" s="98">
        <v>78500</v>
      </c>
      <c r="S14" s="98">
        <v>800000</v>
      </c>
      <c r="T14" s="100">
        <v>0.15</v>
      </c>
      <c r="U14" s="6">
        <v>0.15</v>
      </c>
      <c r="W14" s="10" t="s">
        <v>73</v>
      </c>
      <c r="X14" s="10" t="s">
        <v>6</v>
      </c>
      <c r="Y14" s="10" t="s">
        <v>6</v>
      </c>
    </row>
    <row r="15" spans="2:28" ht="18.75" customHeight="1" x14ac:dyDescent="0.25">
      <c r="B15" s="103">
        <f>IF($O$9="","",IF(ISBLANK(VLOOKUP(CONCATENATE($O$9,"F3"),$P$10:$U$57,2,0)),"",VLOOKUP(CONCATENATE($O$9,"F3"),$P$10:$U$57,2,0)))</f>
        <v>15980.91</v>
      </c>
      <c r="C15" s="103">
        <f>IF($O$9="","",IF(ISBLANK(VLOOKUP(CONCATENATE($O$9,"F3"),$P$10:$U$57,2,0)),"",VLOOKUP(CONCATENATE($O$9,"F3"),$P$10:$U$57,3,0)))</f>
        <v>1290.43</v>
      </c>
      <c r="D15" s="98" t="s">
        <v>205</v>
      </c>
      <c r="E15" s="103">
        <f>IF($O$9="","",IF(ISBLANK(VLOOKUP(CONCATENATE($O$9,"F3"),$P$10:$U$57,2,0)),"",VLOOKUP(CONCATENATE($O$9,"F3"),$P$10:$U$57,4,0)))</f>
        <v>7987.45</v>
      </c>
      <c r="F15" s="104">
        <f>IF($O$9="","",IF(ISBLANK(VLOOKUP(CONCATENATE($O$9,"F3"),$P$10:$U$57,2,0)),"",VLOOKUP(CONCATENATE($O$9,"F3"),$P$10:$U$57,5,0)))</f>
        <v>9.35E-2</v>
      </c>
      <c r="H15" s="105">
        <v>1</v>
      </c>
      <c r="I15" s="128" t="s">
        <v>206</v>
      </c>
      <c r="J15" s="128"/>
      <c r="K15" s="128"/>
      <c r="L15" s="128"/>
      <c r="M15" s="106">
        <f>B5</f>
        <v>55000</v>
      </c>
      <c r="P15" s="6" t="s">
        <v>207</v>
      </c>
      <c r="Q15" s="98">
        <v>1600000</v>
      </c>
      <c r="R15" s="98">
        <v>198500</v>
      </c>
      <c r="S15" s="98" t="s">
        <v>208</v>
      </c>
      <c r="T15" s="100">
        <v>0.18</v>
      </c>
      <c r="U15" s="6">
        <v>0.18</v>
      </c>
      <c r="W15" s="10" t="s">
        <v>77</v>
      </c>
      <c r="X15" s="10" t="s">
        <v>6</v>
      </c>
      <c r="Y15" s="10" t="s">
        <v>6</v>
      </c>
    </row>
    <row r="16" spans="2:28" ht="18.75" customHeight="1" x14ac:dyDescent="0.25">
      <c r="B16" s="103">
        <f>IF($O$9="","",IF(ISBLANK(VLOOKUP(CONCATENATE($O$9,"F4"),$P$10:$U$57,2,0)),"",VLOOKUP(CONCATENATE($O$9,"F4"),$P$10:$U$57,2,0)))</f>
        <v>23968.36</v>
      </c>
      <c r="C16" s="103">
        <f>IF($O$9="","",IF(ISBLANK(VLOOKUP(CONCATENATE($O$9,"F4"),$P$10:$U$57,2,0)),"",VLOOKUP(CONCATENATE($O$9,"F4"),$P$10:$U$57,3,0)))</f>
        <v>2037.26</v>
      </c>
      <c r="D16" s="98" t="s">
        <v>209</v>
      </c>
      <c r="E16" s="103">
        <f>IF($O$9="","",IF(ISBLANK(VLOOKUP(CONCATENATE($O$9,"F4"),$P$10:$U$57,2,0)),"",VLOOKUP(CONCATENATE($O$9,"F4"),$P$10:$U$57,4,0)))</f>
        <v>7987.45</v>
      </c>
      <c r="F16" s="104">
        <f>IF($O$9="","",IF(ISBLANK(VLOOKUP(CONCATENATE($O$9,"F4"),$P$10:$U$57,2,0)),"",VLOOKUP(CONCATENATE($O$9,"F4"),$P$10:$U$57,5,0)))</f>
        <v>0.10199999999999999</v>
      </c>
      <c r="H16" s="105">
        <v>11</v>
      </c>
      <c r="I16" s="127" t="s">
        <v>210</v>
      </c>
      <c r="J16" s="127"/>
      <c r="K16" s="127"/>
      <c r="L16" s="127"/>
      <c r="M16" s="106">
        <f>M15</f>
        <v>55000</v>
      </c>
      <c r="P16" s="6" t="s">
        <v>211</v>
      </c>
      <c r="Q16" s="98"/>
      <c r="R16" s="98"/>
      <c r="S16" s="98"/>
      <c r="T16" s="100"/>
      <c r="W16" s="10" t="s">
        <v>212</v>
      </c>
      <c r="X16" s="10" t="s">
        <v>6</v>
      </c>
      <c r="Y16" s="10" t="s">
        <v>6</v>
      </c>
    </row>
    <row r="17" spans="2:28" ht="18.75" customHeight="1" x14ac:dyDescent="0.25">
      <c r="B17" s="103">
        <f>IF($O$9="","",IF(ISBLANK(VLOOKUP(CONCATENATE($O$9,"F5"),$P$10:$U$57,2,0)),"",VLOOKUP(CONCATENATE($O$9,"F5"),$P$10:$U$57,2,0)))</f>
        <v>31955.81</v>
      </c>
      <c r="C17" s="103">
        <f>IF($O$9="","",IF(ISBLANK(VLOOKUP(CONCATENATE($O$9,"F5"),$P$10:$U$57,2,0)),"",VLOOKUP(CONCATENATE($O$9,"F5"),$P$10:$U$57,3,0)))</f>
        <v>2851.98</v>
      </c>
      <c r="D17" s="98" t="s">
        <v>213</v>
      </c>
      <c r="E17" s="103">
        <f>IF($O$9="","",IF(ISBLANK(VLOOKUP(CONCATENATE($O$9,"F5"),$P$10:$U$57,2,0)),"",VLOOKUP(CONCATENATE($O$9,"F5"),$P$10:$U$57,4,0)))</f>
        <v>7987.45</v>
      </c>
      <c r="F17" s="104">
        <f>IF($O$9="","",IF(ISBLANK(VLOOKUP(CONCATENATE($O$9,"F5"),$P$10:$U$57,2,0)),"",VLOOKUP(CONCATENATE($O$9,"F5"),$P$10:$U$57,5,0)))</f>
        <v>0.1105</v>
      </c>
      <c r="H17" s="105">
        <v>23</v>
      </c>
      <c r="I17" s="127" t="s">
        <v>214</v>
      </c>
      <c r="J17" s="127"/>
      <c r="K17" s="127"/>
      <c r="L17" s="127"/>
      <c r="M17" s="106">
        <f>M16</f>
        <v>55000</v>
      </c>
      <c r="P17" s="6" t="s">
        <v>215</v>
      </c>
      <c r="Q17" s="98"/>
      <c r="R17" s="98"/>
      <c r="S17" s="98"/>
      <c r="T17" s="100"/>
      <c r="W17" s="10" t="s">
        <v>216</v>
      </c>
      <c r="X17" s="10" t="s">
        <v>6</v>
      </c>
      <c r="Y17" s="10" t="s">
        <v>6</v>
      </c>
    </row>
    <row r="18" spans="2:28" ht="15" x14ac:dyDescent="0.25">
      <c r="B18" s="103">
        <f>IF($O$9="","",IF(ISBLANK(VLOOKUP(CONCATENATE($O$9,"F6"),$P$10:$U$57,2,0)),"",VLOOKUP(CONCATENATE($O$9,"F6"),$P$10:$U$57,2,0)))</f>
        <v>39943.26</v>
      </c>
      <c r="C18" s="103">
        <f>IF($O$9="","",IF(ISBLANK(VLOOKUP(CONCATENATE($O$9,"F6"),$P$10:$U$57,2,0)),"",VLOOKUP(CONCATENATE($O$9,"F6"),$P$10:$U$57,3,0)))</f>
        <v>3734.59</v>
      </c>
      <c r="D18" s="98" t="s">
        <v>217</v>
      </c>
      <c r="E18" s="103">
        <f>IF($O$9="","",IF(ISBLANK(VLOOKUP(CONCATENATE($O$9,"F6"),$P$10:$U$57,2,0)),"",VLOOKUP(CONCATENATE($O$9,"F6"),$P$10:$U$57,4,0)))</f>
        <v>7987.46</v>
      </c>
      <c r="F18" s="104">
        <f>IF($O$9="","",IF(ISBLANK(VLOOKUP(CONCATENATE($O$9,"F6"),$P$10:$U$57,2,0)),"",VLOOKUP(CONCATENATE($O$9,"F6"),$P$10:$U$57,5,0)))</f>
        <v>0.11899999999999999</v>
      </c>
      <c r="H18" s="105">
        <v>27</v>
      </c>
      <c r="I18" s="128" t="s">
        <v>218</v>
      </c>
      <c r="J18" s="128"/>
      <c r="K18" s="128"/>
      <c r="L18" s="128"/>
      <c r="M18" s="106">
        <f>M17</f>
        <v>55000</v>
      </c>
      <c r="P18" s="6" t="s">
        <v>219</v>
      </c>
      <c r="Q18" s="98"/>
      <c r="R18" s="98"/>
      <c r="S18" s="98"/>
      <c r="T18" s="100"/>
      <c r="V18" s="7"/>
      <c r="W18" s="10" t="s">
        <v>95</v>
      </c>
      <c r="X18" s="10" t="s">
        <v>6</v>
      </c>
      <c r="Y18" s="10" t="s">
        <v>6</v>
      </c>
    </row>
    <row r="19" spans="2:28" ht="18.75" customHeight="1" x14ac:dyDescent="0.25">
      <c r="B19" s="103">
        <f>IF($O$9="","",IF(ISBLANK(VLOOKUP(CONCATENATE($O$9,"F7"),$P$10:$U$57,2,0)),"",VLOOKUP(CONCATENATE($O$9,"F7"),$P$10:$U$57,2,0)))</f>
        <v>47930.720000000001</v>
      </c>
      <c r="C19" s="103">
        <f>IF($O$9="","",IF(ISBLANK(VLOOKUP(CONCATENATE($O$9,"F7"),$P$10:$U$57,2,0)),"",VLOOKUP(CONCATENATE($O$9,"F7"),$P$10:$U$57,3,0)))</f>
        <v>4685.1000000000004</v>
      </c>
      <c r="D19" s="98" t="s">
        <v>220</v>
      </c>
      <c r="E19" s="103">
        <f>IF($O$9="","",IF(ISBLANK(VLOOKUP(CONCATENATE($O$9,"F7"),$P$10:$U$57,2,0)),"",VLOOKUP(CONCATENATE($O$9,"F7"),$P$10:$U$57,4,0)))</f>
        <v>7987.45</v>
      </c>
      <c r="F19" s="104">
        <f>IF($O$9="","",IF(ISBLANK(VLOOKUP(CONCATENATE($O$9,"F7"),$P$10:$U$57,2,0)),"",VLOOKUP(CONCATENATE($O$9,"F7"),$P$10:$U$57,5,0)))</f>
        <v>0.1275</v>
      </c>
      <c r="I19" s="107" t="s">
        <v>221</v>
      </c>
      <c r="J19" s="108">
        <f>B10</f>
        <v>47930.720000000001</v>
      </c>
      <c r="K19" s="109"/>
      <c r="L19" s="110"/>
      <c r="M19" s="108">
        <f>C10</f>
        <v>4685.1000000000004</v>
      </c>
      <c r="P19" s="6" t="s">
        <v>222</v>
      </c>
      <c r="Q19" s="98"/>
      <c r="R19" s="98"/>
      <c r="S19" s="98"/>
      <c r="T19" s="100"/>
      <c r="V19" s="7"/>
      <c r="W19" s="10" t="s">
        <v>101</v>
      </c>
      <c r="X19" s="10" t="s">
        <v>6</v>
      </c>
      <c r="Y19" s="10" t="s">
        <v>6</v>
      </c>
    </row>
    <row r="20" spans="2:28" ht="15" x14ac:dyDescent="0.25">
      <c r="B20" s="103">
        <f>IF($O$9="","",IF(ISBLANK(VLOOKUP(CONCATENATE($O$9,"F8"),$P$10:$U$57,2,0)),"",VLOOKUP(CONCATENATE($O$9,"F8"),$P$10:$U$57,2,0)))</f>
        <v>55918.17</v>
      </c>
      <c r="C20" s="103">
        <f>IF($O$9="","",IF(ISBLANK(VLOOKUP(CONCATENATE($O$9,"F8"),$P$10:$U$57,2,0)),"",VLOOKUP(CONCATENATE($O$9,"F8"),$P$10:$U$57,3,0)))</f>
        <v>5703.5</v>
      </c>
      <c r="D20" s="98" t="s">
        <v>223</v>
      </c>
      <c r="E20" s="103">
        <f>IF($O$9="","",IF(ISBLANK(VLOOKUP(CONCATENATE($O$9,"F8"),$P$10:$U$57,2,0)),"",VLOOKUP(CONCATENATE($O$9,"F8"),$P$10:$U$57,4,0)))</f>
        <v>7987.45</v>
      </c>
      <c r="F20" s="104">
        <f>IF($O$9="","",IF(ISBLANK(VLOOKUP(CONCATENATE($O$9,"F8"),$P$10:$U$57,2,0)),"",VLOOKUP(CONCATENATE($O$9,"F8"),$P$10:$U$57,5,0)))</f>
        <v>0.13600000000000001</v>
      </c>
      <c r="I20" s="107" t="s">
        <v>27</v>
      </c>
      <c r="J20" s="108">
        <f>M3</f>
        <v>7069.2799999999988</v>
      </c>
      <c r="K20" s="109" t="s">
        <v>224</v>
      </c>
      <c r="L20" s="111">
        <f>F10</f>
        <v>0.1275</v>
      </c>
      <c r="M20" s="108">
        <f>M4</f>
        <v>901.33319999999992</v>
      </c>
      <c r="P20" s="6" t="s">
        <v>225</v>
      </c>
      <c r="Q20" s="98"/>
      <c r="R20" s="98"/>
      <c r="S20" s="98"/>
      <c r="T20" s="100"/>
      <c r="V20" s="7"/>
      <c r="W20" s="10" t="s">
        <v>104</v>
      </c>
      <c r="X20" s="10" t="s">
        <v>6</v>
      </c>
      <c r="Y20" s="10" t="s">
        <v>6</v>
      </c>
    </row>
    <row r="21" spans="2:28" ht="18.75" customHeight="1" x14ac:dyDescent="0.25">
      <c r="B21" s="103">
        <f>IF($O$9="","",IF(ISBLANK(VLOOKUP(CONCATENATE($O$9,"F9"),$P$10:$U$57,2,0)),"",VLOOKUP(CONCATENATE($O$9,"F9"),$P$10:$U$57,2,0)))</f>
        <v>63905.62</v>
      </c>
      <c r="C21" s="103">
        <f>IF($O$9="","",IF(ISBLANK(VLOOKUP(CONCATENATE($O$9,"F9"),$P$10:$U$57,2,0)),"",VLOOKUP(CONCATENATE($O$9,"F9"),$P$10:$U$57,3,0)))</f>
        <v>6789.79</v>
      </c>
      <c r="D21" s="98" t="s">
        <v>226</v>
      </c>
      <c r="E21" s="103">
        <f>IF($O$9="","",IF(ISBLANK(VLOOKUP(CONCATENATE($O$9,"F9"),$P$10:$U$57,2,0)),"",VLOOKUP(CONCATENATE($O$9,"F9"),$P$10:$U$57,4,0)))</f>
        <v>7987.45</v>
      </c>
      <c r="F21" s="104">
        <f>IF($O$9="","",IF(ISBLANK(VLOOKUP(CONCATENATE($O$9,"F9"),$P$10:$U$57,2,0)),"",VLOOKUP(CONCATENATE($O$9,"F9"),$P$10:$U$57,5,0)))</f>
        <v>0.14449999999999999</v>
      </c>
      <c r="I21" s="129" t="s">
        <v>227</v>
      </c>
      <c r="J21" s="129"/>
      <c r="K21" s="129"/>
      <c r="L21" s="129"/>
      <c r="M21" s="108">
        <f>M5</f>
        <v>5586.4332000000004</v>
      </c>
      <c r="P21" s="6" t="s">
        <v>228</v>
      </c>
      <c r="Q21" s="98"/>
      <c r="R21" s="98"/>
      <c r="S21" s="98"/>
      <c r="T21" s="100"/>
      <c r="U21" s="7"/>
      <c r="V21" s="7"/>
      <c r="W21" s="10" t="s">
        <v>110</v>
      </c>
      <c r="X21" s="10" t="s">
        <v>7</v>
      </c>
      <c r="Y21" s="10" t="s">
        <v>7</v>
      </c>
    </row>
    <row r="22" spans="2:28" ht="18.75" customHeight="1" x14ac:dyDescent="0.25">
      <c r="B22" s="103">
        <f>IF($O$9="","",IF(ISBLANK(VLOOKUP(CONCATENATE($O$9,"F10"),$P$10:$U$57,2,0)),"",VLOOKUP(CONCATENATE($O$9,"F10"),$P$10:$U$57,2,0)))</f>
        <v>71893.070000000007</v>
      </c>
      <c r="C22" s="103">
        <f>IF($O$9="","",IF(ISBLANK(VLOOKUP(CONCATENATE($O$9,"F10"),$P$10:$U$57,2,0)),"",VLOOKUP(CONCATENATE($O$9,"F10"),$P$10:$U$57,3,0)))</f>
        <v>7943.98</v>
      </c>
      <c r="D22" s="98" t="s">
        <v>229</v>
      </c>
      <c r="E22" s="103">
        <f>IF($O$9="","",IF(ISBLANK(VLOOKUP(CONCATENATE($O$9,"F10"),$P$10:$U$57,2,0)),"",VLOOKUP(CONCATENATE($O$9,"F10"),$P$10:$U$57,4,0)))</f>
        <v>7987.45</v>
      </c>
      <c r="F22" s="104">
        <f>IF($O$9="","",IF(ISBLANK(VLOOKUP(CONCATENATE($O$9,"F10"),$P$10:$U$57,2,0)),"",VLOOKUP(CONCATENATE($O$9,"F10"),$P$10:$U$57,5,0)))</f>
        <v>0.153</v>
      </c>
      <c r="H22" s="68">
        <v>30</v>
      </c>
      <c r="I22" s="127" t="s">
        <v>230</v>
      </c>
      <c r="J22" s="127"/>
      <c r="K22" s="127"/>
      <c r="L22" s="127"/>
      <c r="M22" s="106">
        <f>M5</f>
        <v>5586.4332000000004</v>
      </c>
      <c r="P22" s="6" t="s">
        <v>231</v>
      </c>
      <c r="Q22" s="98"/>
      <c r="R22" s="98"/>
      <c r="S22" s="98"/>
      <c r="T22" s="100"/>
      <c r="U22" s="7"/>
      <c r="V22" s="7"/>
      <c r="W22" s="7"/>
      <c r="X22" s="7"/>
      <c r="Y22" s="7"/>
      <c r="Z22" s="7"/>
      <c r="AA22" s="7"/>
      <c r="AB22" s="7"/>
    </row>
    <row r="23" spans="2:28" ht="18.75" customHeight="1" x14ac:dyDescent="0.25">
      <c r="B23" s="103">
        <f>IF($O$9="","",IF(ISBLANK(VLOOKUP(CONCATENATE($O$9,"F11"),$P$10:$U$57,2,0)),"",VLOOKUP(CONCATENATE($O$9,"F11"),$P$10:$U$57,2,0)))</f>
        <v>79880.52</v>
      </c>
      <c r="C23" s="103">
        <f>IF($O$9="","",IF(ISBLANK(VLOOKUP(CONCATENATE($O$9,"F11"),$P$10:$U$57,2,0)),"",VLOOKUP(CONCATENATE($O$9,"F11"),$P$10:$U$57,3,0)))</f>
        <v>9166.06</v>
      </c>
      <c r="D23" s="98" t="s">
        <v>232</v>
      </c>
      <c r="E23" s="103">
        <f>IF($O$9="","",IF(ISBLANK(VLOOKUP(CONCATENATE($O$9,"F11"),$P$10:$U$57,2,0)),"",VLOOKUP(CONCATENATE($O$9,"F11"),$P$10:$U$57,4,0)))</f>
        <v>39877.15</v>
      </c>
      <c r="F23" s="104">
        <f>IF($O$9="","",IF(ISBLANK(VLOOKUP(CONCATENATE($O$9,"F11"),$P$10:$U$57,2,0)),"",VLOOKUP(CONCATENATE($O$9,"F11"),$P$10:$U$57,5,0)))</f>
        <v>0.1615</v>
      </c>
      <c r="H23" s="68">
        <v>31</v>
      </c>
      <c r="I23" s="128" t="s">
        <v>61</v>
      </c>
      <c r="J23" s="128"/>
      <c r="K23" s="128"/>
      <c r="L23" s="128"/>
      <c r="M23" s="112">
        <f>E7</f>
        <v>1.5882000000000001</v>
      </c>
      <c r="P23" s="6" t="s">
        <v>233</v>
      </c>
      <c r="Q23" s="98"/>
      <c r="R23" s="98"/>
      <c r="S23" s="98"/>
      <c r="T23" s="100"/>
      <c r="U23" s="7"/>
      <c r="V23" s="7"/>
      <c r="W23" s="7"/>
      <c r="X23" s="7"/>
      <c r="Y23" s="7"/>
      <c r="Z23" s="7"/>
      <c r="AA23" s="7"/>
      <c r="AB23" s="7"/>
    </row>
    <row r="24" spans="2:28" ht="18.75" customHeight="1" x14ac:dyDescent="0.25">
      <c r="B24" s="103">
        <f>IF($O$9="","",IF(ISBLANK(VLOOKUP(CONCATENATE($O$9,"F12"),$P$10:$U$57,2,0)),"",VLOOKUP(CONCATENATE($O$9,"F12"),$P$10:$U$57,2,0)))</f>
        <v>119757.67</v>
      </c>
      <c r="C24" s="103">
        <f>IF($O$9="","",IF(ISBLANK(VLOOKUP(CONCATENATE($O$9,"F12"),$P$10:$U$57,2,0)),"",VLOOKUP(CONCATENATE($O$9,"F12"),$P$10:$U$57,3,0)))</f>
        <v>15606.22</v>
      </c>
      <c r="D24" s="98" t="s">
        <v>234</v>
      </c>
      <c r="E24" s="103">
        <f>IF($O$9="","",IF(ISBLANK(VLOOKUP(CONCATENATE($O$9,"F12"),$P$10:$U$57,2,0)),"",VLOOKUP(CONCATENATE($O$9,"F12"),$P$10:$U$57,4,0)))</f>
        <v>39877.160000000003</v>
      </c>
      <c r="F24" s="104">
        <f>IF($O$9="","",IF(ISBLANK(VLOOKUP(CONCATENATE($O$9,"F12"),$P$10:$U$57,2,0)),"",VLOOKUP(CONCATENATE($O$9,"F12"),$P$10:$U$57,5,0)))</f>
        <v>0.187</v>
      </c>
      <c r="H24" s="68">
        <v>32</v>
      </c>
      <c r="I24" s="128" t="s">
        <v>235</v>
      </c>
      <c r="J24" s="128"/>
      <c r="K24" s="128"/>
      <c r="L24" s="128"/>
      <c r="M24" s="106">
        <f>M6</f>
        <v>8872.3732082400002</v>
      </c>
      <c r="P24" s="6" t="s">
        <v>236</v>
      </c>
      <c r="Q24" s="98"/>
      <c r="R24" s="98"/>
      <c r="S24" s="98"/>
      <c r="T24" s="100"/>
      <c r="U24" s="7"/>
      <c r="V24" s="7"/>
      <c r="W24" s="7"/>
      <c r="X24" s="7"/>
      <c r="Y24" s="7"/>
      <c r="Z24" s="7"/>
      <c r="AA24" s="7"/>
      <c r="AB24" s="7"/>
    </row>
    <row r="25" spans="2:28" ht="18.75" customHeight="1" x14ac:dyDescent="0.25">
      <c r="B25" s="103">
        <f>IF($O$9="","",IF(ISBLANK(VLOOKUP(CONCATENATE($O$9,"F13"),$P$10:$U$57,2,0)),"",VLOOKUP(CONCATENATE($O$9,"F13"),$P$10:$U$57,2,0)))</f>
        <v>159634.82999999999</v>
      </c>
      <c r="C25" s="103">
        <f>IF($O$9="","",IF(ISBLANK(VLOOKUP(CONCATENATE($O$9,"F13"),$P$10:$U$57,2,0)),"",VLOOKUP(CONCATENATE($O$9,"F13"),$P$10:$U$57,3,0)))</f>
        <v>23063.25</v>
      </c>
      <c r="D25" s="98" t="s">
        <v>237</v>
      </c>
      <c r="E25" s="103">
        <f>IF($O$9="","",IF(ISBLANK(VLOOKUP(CONCATENATE($O$9,"F13"),$P$10:$U$57,2,0)),"",VLOOKUP(CONCATENATE($O$9,"F13"),$P$10:$U$57,4,0)))</f>
        <v>79754.3</v>
      </c>
      <c r="F25" s="104">
        <f>IF($O$9="","",IF(ISBLANK(VLOOKUP(CONCATENATE($O$9,"F13"),$P$10:$U$57,2,0)),"",VLOOKUP(CONCATENATE($O$9,"F13"),$P$10:$U$57,5,0)))</f>
        <v>0.21249999999999999</v>
      </c>
      <c r="H25" s="68">
        <v>38</v>
      </c>
      <c r="I25" s="127" t="s">
        <v>238</v>
      </c>
      <c r="J25" s="127"/>
      <c r="K25" s="127"/>
      <c r="L25" s="127"/>
      <c r="M25" s="106">
        <f>I7</f>
        <v>8872.3732082400002</v>
      </c>
      <c r="P25" s="6" t="s">
        <v>239</v>
      </c>
      <c r="Q25" s="98"/>
      <c r="R25" s="98"/>
      <c r="S25" s="98"/>
      <c r="T25" s="100"/>
      <c r="U25" s="7"/>
      <c r="V25" s="7"/>
      <c r="W25" s="7"/>
      <c r="X25" s="7"/>
      <c r="Y25" s="7"/>
      <c r="Z25" s="7"/>
      <c r="AA25" s="7"/>
      <c r="AB25" s="7"/>
    </row>
    <row r="26" spans="2:28" ht="18.75" customHeight="1" x14ac:dyDescent="0.25">
      <c r="B26" s="103">
        <f>IF($O$9="","",IF(ISBLANK(VLOOKUP(CONCATENATE($O$9,"F14"),$P$10:$U$57,2,0)),"",VLOOKUP(CONCATENATE($O$9,"F14"),$P$10:$U$57,2,0)))</f>
        <v>239389.13</v>
      </c>
      <c r="C26" s="103">
        <f>IF($O$9="","",IF(ISBLANK(VLOOKUP(CONCATENATE($O$9,"F14"),$P$10:$U$57,2,0)),"",VLOOKUP(CONCATENATE($O$9,"F14"),$P$10:$U$57,3,0)))</f>
        <v>40011.040000000001</v>
      </c>
      <c r="D26" s="98" t="s">
        <v>240</v>
      </c>
      <c r="E26" s="103">
        <f>IF($O$9="","",IF(ISBLANK(VLOOKUP(CONCATENATE($O$9,"F14"),$P$10:$U$57,2,0)),"",VLOOKUP(CONCATENATE($O$9,"F14"),$P$10:$U$57,4,0)))</f>
        <v>159388.41</v>
      </c>
      <c r="F26" s="104">
        <f>IF($O$9="","",IF(ISBLANK(VLOOKUP(CONCATENATE($O$9,"F14"),$P$10:$U$57,2,0)),"",VLOOKUP(CONCATENATE($O$9,"F14"),$P$10:$U$57,5,0)))</f>
        <v>0.255</v>
      </c>
      <c r="P26" s="113" t="s">
        <v>241</v>
      </c>
      <c r="Q26" s="103">
        <v>0</v>
      </c>
      <c r="R26" s="103">
        <v>0</v>
      </c>
      <c r="S26" s="103">
        <v>200000</v>
      </c>
      <c r="T26" s="104">
        <v>0.05</v>
      </c>
      <c r="U26" s="113">
        <v>0.05</v>
      </c>
      <c r="V26" s="7"/>
      <c r="X26" s="7"/>
      <c r="Y26" s="7"/>
      <c r="Z26" s="7"/>
      <c r="AA26" s="7"/>
      <c r="AB26" s="7"/>
    </row>
    <row r="27" spans="2:28" ht="18.75" customHeight="1" x14ac:dyDescent="0.25">
      <c r="B27" s="103">
        <f>IF($O$9="","",IF(ISBLANK(VLOOKUP(CONCATENATE($O$9,"F15"),$P$10:$U$57,2,0)),"",VLOOKUP(CONCATENATE($O$9,"F15"),$P$10:$U$57,2,0)))</f>
        <v>398777.54</v>
      </c>
      <c r="C27" s="103">
        <f>IF($O$9="","",IF(ISBLANK(VLOOKUP(CONCATENATE($O$9,"F15"),$P$10:$U$57,2,0)),"",VLOOKUP(CONCATENATE($O$9,"F15"),$P$10:$U$57,3,0)))</f>
        <v>80655.08</v>
      </c>
      <c r="D27" s="98" t="s">
        <v>242</v>
      </c>
      <c r="E27" s="103">
        <f>IF($O$9="","",IF(ISBLANK(VLOOKUP(CONCATENATE($O$9,"F15"),$P$10:$U$57,2,0)),"",VLOOKUP(CONCATENATE($O$9,"F15"),$P$10:$U$57,4,0)))</f>
        <v>398777.54</v>
      </c>
      <c r="F27" s="104">
        <f>IF($O$9="","",IF(ISBLANK(VLOOKUP(CONCATENATE($O$9,"F15"),$P$10:$U$57,2,0)),"",VLOOKUP(CONCATENATE($O$9,"F15"),$P$10:$U$57,5,0)))</f>
        <v>0.29749999999999999</v>
      </c>
      <c r="P27" s="113" t="s">
        <v>243</v>
      </c>
      <c r="Q27" s="103">
        <v>200000</v>
      </c>
      <c r="R27" s="103">
        <v>10000</v>
      </c>
      <c r="S27" s="103">
        <v>400000</v>
      </c>
      <c r="T27" s="104">
        <v>7.0000000000000007E-2</v>
      </c>
      <c r="U27" s="113">
        <v>7.0000000000000007E-2</v>
      </c>
      <c r="V27" s="7"/>
      <c r="X27" s="7"/>
      <c r="Y27" s="7"/>
      <c r="Z27" s="7"/>
      <c r="AA27" s="7"/>
      <c r="AB27" s="7"/>
    </row>
    <row r="28" spans="2:28" ht="18.75" customHeight="1" x14ac:dyDescent="0.25">
      <c r="B28" s="103">
        <f>IF($O$9="","",IF(ISBLANK(VLOOKUP(CONCATENATE($O$9,"F16"),$P$10:$U$57,2,0)),"",VLOOKUP(CONCATENATE($O$9,"F16"),$P$10:$U$57,2,0)))</f>
        <v>797555.08</v>
      </c>
      <c r="C28" s="103">
        <f>IF($O$9="","",IF(ISBLANK(VLOOKUP(CONCATENATE($O$9,"F16"),$P$10:$U$57,2,0)),"",VLOOKUP(CONCATENATE($O$9,"F16"),$P$10:$U$57,3,0)))</f>
        <v>199291.4</v>
      </c>
      <c r="D28" s="98" t="s">
        <v>244</v>
      </c>
      <c r="E28" s="103" t="str">
        <f>IF($O$9="","",IF(ISBLANK(VLOOKUP(CONCATENATE($O$9,"F16"),$P$10:$U$57,2,0)),"",VLOOKUP(CONCATENATE($O$9,"F16"),$P$10:$U$57,4,0)))</f>
        <v>En adelante</v>
      </c>
      <c r="F28" s="104">
        <f>IF($O$9="","",IF(ISBLANK(VLOOKUP(CONCATENATE($O$9,"F16"),$P$10:$U$57,2,0)),"",VLOOKUP(CONCATENATE($O$9,"F16"),$P$10:$U$57,5,0)))</f>
        <v>0.34</v>
      </c>
      <c r="P28" s="113" t="s">
        <v>245</v>
      </c>
      <c r="Q28" s="103">
        <v>600000</v>
      </c>
      <c r="R28" s="103">
        <v>38000</v>
      </c>
      <c r="S28" s="103" t="s">
        <v>208</v>
      </c>
      <c r="T28" s="104">
        <v>0.09</v>
      </c>
      <c r="U28" s="114" t="s">
        <v>246</v>
      </c>
      <c r="V28" s="7"/>
      <c r="W28" s="7"/>
      <c r="X28" s="7"/>
      <c r="Y28" s="7"/>
      <c r="Z28" s="7"/>
      <c r="AA28" s="7"/>
      <c r="AB28" s="115"/>
    </row>
    <row r="29" spans="2:28" ht="18.75" customHeight="1" x14ac:dyDescent="0.25">
      <c r="P29" s="113" t="s">
        <v>247</v>
      </c>
      <c r="Q29" s="103"/>
      <c r="R29" s="103"/>
      <c r="S29" s="103"/>
      <c r="T29" s="104"/>
      <c r="U29" s="114"/>
      <c r="V29" s="7"/>
      <c r="W29" s="7"/>
      <c r="X29" s="7"/>
      <c r="Y29" s="7"/>
      <c r="Z29" s="7"/>
      <c r="AA29" s="7"/>
      <c r="AB29" s="115"/>
    </row>
    <row r="30" spans="2:28" ht="18.75" customHeight="1" x14ac:dyDescent="0.25">
      <c r="P30" s="113" t="s">
        <v>248</v>
      </c>
      <c r="Q30" s="103"/>
      <c r="R30" s="103"/>
      <c r="S30" s="103"/>
      <c r="T30" s="104"/>
      <c r="U30" s="114"/>
    </row>
    <row r="31" spans="2:28" ht="18.75" customHeight="1" x14ac:dyDescent="0.25">
      <c r="P31" s="113" t="s">
        <v>249</v>
      </c>
      <c r="Q31" s="103"/>
      <c r="R31" s="103"/>
      <c r="S31" s="103"/>
      <c r="T31" s="104"/>
      <c r="U31" s="113"/>
    </row>
    <row r="32" spans="2:28" ht="18.75" customHeight="1" x14ac:dyDescent="0.25">
      <c r="P32" s="113" t="s">
        <v>250</v>
      </c>
      <c r="Q32" s="103"/>
      <c r="R32" s="103"/>
      <c r="S32" s="103"/>
      <c r="T32" s="104"/>
      <c r="U32" s="113"/>
    </row>
    <row r="33" spans="15:21" ht="18.75" customHeight="1" x14ac:dyDescent="0.25">
      <c r="P33" s="113" t="s">
        <v>251</v>
      </c>
      <c r="Q33" s="103"/>
      <c r="R33" s="103"/>
      <c r="S33" s="103"/>
      <c r="T33" s="104"/>
      <c r="U33" s="113"/>
    </row>
    <row r="34" spans="15:21" ht="18.75" customHeight="1" x14ac:dyDescent="0.25">
      <c r="P34" s="113" t="s">
        <v>252</v>
      </c>
      <c r="Q34" s="103"/>
      <c r="R34" s="103"/>
      <c r="S34" s="103"/>
      <c r="T34" s="104"/>
      <c r="U34" s="113"/>
    </row>
    <row r="35" spans="15:21" ht="18.75" customHeight="1" x14ac:dyDescent="0.25">
      <c r="P35" s="113" t="s">
        <v>253</v>
      </c>
      <c r="Q35" s="103"/>
      <c r="R35" s="103"/>
      <c r="S35" s="103"/>
      <c r="T35" s="104"/>
      <c r="U35" s="113"/>
    </row>
    <row r="36" spans="15:21" ht="18.75" customHeight="1" x14ac:dyDescent="0.25">
      <c r="P36" s="113" t="s">
        <v>254</v>
      </c>
      <c r="Q36" s="103"/>
      <c r="R36" s="103"/>
      <c r="S36" s="103"/>
      <c r="T36" s="104"/>
      <c r="U36" s="113"/>
    </row>
    <row r="37" spans="15:21" ht="18.75" customHeight="1" x14ac:dyDescent="0.25">
      <c r="P37" s="113" t="s">
        <v>255</v>
      </c>
      <c r="Q37" s="103"/>
      <c r="R37" s="103"/>
      <c r="S37" s="103"/>
      <c r="T37" s="104"/>
      <c r="U37" s="113"/>
    </row>
    <row r="38" spans="15:21" ht="18.75" customHeight="1" x14ac:dyDescent="0.25">
      <c r="P38" s="113" t="s">
        <v>256</v>
      </c>
      <c r="Q38" s="103"/>
      <c r="R38" s="103"/>
      <c r="S38" s="103"/>
      <c r="T38" s="104"/>
      <c r="U38" s="113"/>
    </row>
    <row r="39" spans="15:21" ht="18.75" customHeight="1" x14ac:dyDescent="0.25">
      <c r="O39" s="10"/>
      <c r="P39" s="113" t="s">
        <v>257</v>
      </c>
      <c r="Q39" s="116"/>
      <c r="R39" s="103"/>
      <c r="S39" s="103"/>
      <c r="T39" s="104"/>
      <c r="U39" s="113"/>
    </row>
    <row r="40" spans="15:21" ht="18.75" customHeight="1" x14ac:dyDescent="0.25">
      <c r="O40" s="10"/>
      <c r="P40" s="113" t="s">
        <v>258</v>
      </c>
      <c r="Q40" s="116"/>
      <c r="R40" s="103"/>
      <c r="S40" s="103"/>
      <c r="T40" s="104"/>
      <c r="U40" s="113"/>
    </row>
    <row r="41" spans="15:21" ht="18.75" customHeight="1" x14ac:dyDescent="0.25">
      <c r="O41" s="10"/>
      <c r="P41" s="113" t="s">
        <v>259</v>
      </c>
      <c r="Q41" s="116"/>
      <c r="R41" s="103"/>
      <c r="S41" s="103"/>
      <c r="T41" s="104"/>
      <c r="U41" s="113"/>
    </row>
    <row r="42" spans="15:21" ht="18.75" customHeight="1" x14ac:dyDescent="0.25">
      <c r="O42" s="10"/>
      <c r="P42" s="6" t="s">
        <v>260</v>
      </c>
      <c r="Q42" s="117">
        <v>0</v>
      </c>
      <c r="R42" s="98">
        <v>0</v>
      </c>
      <c r="S42" s="98">
        <v>7993.46</v>
      </c>
      <c r="T42" s="100">
        <v>7.6499999999999999E-2</v>
      </c>
    </row>
    <row r="43" spans="15:21" ht="18.75" customHeight="1" x14ac:dyDescent="0.25">
      <c r="O43" s="10"/>
      <c r="P43" s="6" t="s">
        <v>261</v>
      </c>
      <c r="Q43" s="117">
        <v>7993.46</v>
      </c>
      <c r="R43" s="98">
        <v>611.5</v>
      </c>
      <c r="S43" s="98">
        <v>7987.45</v>
      </c>
      <c r="T43" s="100">
        <v>8.5000000000000006E-2</v>
      </c>
    </row>
    <row r="44" spans="15:21" ht="18.75" customHeight="1" x14ac:dyDescent="0.25">
      <c r="P44" s="6" t="s">
        <v>262</v>
      </c>
      <c r="Q44" s="98">
        <v>15980.91</v>
      </c>
      <c r="R44" s="98">
        <v>1290.43</v>
      </c>
      <c r="S44" s="98">
        <v>7987.45</v>
      </c>
      <c r="T44" s="100">
        <v>9.35E-2</v>
      </c>
    </row>
    <row r="45" spans="15:21" ht="18.75" customHeight="1" x14ac:dyDescent="0.25">
      <c r="P45" s="6" t="s">
        <v>263</v>
      </c>
      <c r="Q45" s="98">
        <v>23968.36</v>
      </c>
      <c r="R45" s="98">
        <v>2037.26</v>
      </c>
      <c r="S45" s="98">
        <v>7987.45</v>
      </c>
      <c r="T45" s="100">
        <v>0.10199999999999999</v>
      </c>
    </row>
    <row r="46" spans="15:21" ht="18.75" customHeight="1" x14ac:dyDescent="0.25">
      <c r="P46" s="6" t="s">
        <v>264</v>
      </c>
      <c r="Q46" s="98">
        <v>31955.81</v>
      </c>
      <c r="R46" s="98">
        <v>2851.98</v>
      </c>
      <c r="S46" s="98">
        <v>7987.45</v>
      </c>
      <c r="T46" s="100">
        <v>0.1105</v>
      </c>
    </row>
    <row r="47" spans="15:21" ht="18.75" customHeight="1" x14ac:dyDescent="0.25">
      <c r="P47" s="6" t="s">
        <v>265</v>
      </c>
      <c r="Q47" s="98">
        <v>39943.26</v>
      </c>
      <c r="R47" s="98">
        <v>3734.59</v>
      </c>
      <c r="S47" s="98">
        <v>7987.46</v>
      </c>
      <c r="T47" s="100">
        <v>0.11899999999999999</v>
      </c>
    </row>
    <row r="48" spans="15:21" ht="18.75" customHeight="1" x14ac:dyDescent="0.25">
      <c r="P48" s="6" t="s">
        <v>266</v>
      </c>
      <c r="Q48" s="98">
        <v>47930.720000000001</v>
      </c>
      <c r="R48" s="98">
        <v>4685.1000000000004</v>
      </c>
      <c r="S48" s="98">
        <v>7987.45</v>
      </c>
      <c r="T48" s="100">
        <v>0.1275</v>
      </c>
    </row>
    <row r="49" spans="16:20" ht="18.75" customHeight="1" x14ac:dyDescent="0.25">
      <c r="P49" s="6" t="s">
        <v>267</v>
      </c>
      <c r="Q49" s="98">
        <v>55918.17</v>
      </c>
      <c r="R49" s="98">
        <v>5703.5</v>
      </c>
      <c r="S49" s="98">
        <v>7987.45</v>
      </c>
      <c r="T49" s="100">
        <v>0.13600000000000001</v>
      </c>
    </row>
    <row r="50" spans="16:20" ht="18.75" customHeight="1" x14ac:dyDescent="0.25">
      <c r="P50" s="6" t="s">
        <v>268</v>
      </c>
      <c r="Q50" s="98">
        <v>63905.62</v>
      </c>
      <c r="R50" s="98">
        <v>6789.79</v>
      </c>
      <c r="S50" s="98">
        <v>7987.45</v>
      </c>
      <c r="T50" s="100">
        <v>0.14449999999999999</v>
      </c>
    </row>
    <row r="51" spans="16:20" ht="18.75" customHeight="1" x14ac:dyDescent="0.25">
      <c r="P51" s="6" t="s">
        <v>269</v>
      </c>
      <c r="Q51" s="98">
        <v>71893.070000000007</v>
      </c>
      <c r="R51" s="98">
        <v>7943.98</v>
      </c>
      <c r="S51" s="98">
        <v>7987.45</v>
      </c>
      <c r="T51" s="100">
        <v>0.153</v>
      </c>
    </row>
    <row r="52" spans="16:20" ht="18.75" customHeight="1" x14ac:dyDescent="0.25">
      <c r="P52" s="6" t="s">
        <v>270</v>
      </c>
      <c r="Q52" s="98">
        <v>79880.52</v>
      </c>
      <c r="R52" s="98">
        <v>9166.06</v>
      </c>
      <c r="S52" s="98">
        <v>39877.15</v>
      </c>
      <c r="T52" s="100">
        <v>0.1615</v>
      </c>
    </row>
    <row r="53" spans="16:20" ht="18.75" customHeight="1" x14ac:dyDescent="0.25">
      <c r="P53" s="6" t="s">
        <v>271</v>
      </c>
      <c r="Q53" s="98">
        <v>119757.67</v>
      </c>
      <c r="R53" s="98">
        <v>15606.22</v>
      </c>
      <c r="S53" s="98">
        <v>39877.160000000003</v>
      </c>
      <c r="T53" s="100">
        <v>0.187</v>
      </c>
    </row>
    <row r="54" spans="16:20" ht="18.75" customHeight="1" x14ac:dyDescent="0.25">
      <c r="P54" s="6" t="s">
        <v>272</v>
      </c>
      <c r="Q54" s="98">
        <v>159634.82999999999</v>
      </c>
      <c r="R54" s="98">
        <v>23063.25</v>
      </c>
      <c r="S54" s="98">
        <v>79754.3</v>
      </c>
      <c r="T54" s="100">
        <v>0.21249999999999999</v>
      </c>
    </row>
    <row r="55" spans="16:20" ht="18.75" customHeight="1" x14ac:dyDescent="0.25">
      <c r="P55" s="6" t="s">
        <v>273</v>
      </c>
      <c r="Q55" s="98">
        <v>239389.13</v>
      </c>
      <c r="R55" s="98">
        <v>40011.040000000001</v>
      </c>
      <c r="S55" s="98">
        <v>159388.41</v>
      </c>
      <c r="T55" s="100">
        <v>0.255</v>
      </c>
    </row>
    <row r="56" spans="16:20" ht="18.75" customHeight="1" x14ac:dyDescent="0.25">
      <c r="P56" s="6" t="s">
        <v>274</v>
      </c>
      <c r="Q56" s="98">
        <v>398777.54</v>
      </c>
      <c r="R56" s="98">
        <v>80655.08</v>
      </c>
      <c r="S56" s="98">
        <v>398777.54</v>
      </c>
      <c r="T56" s="100">
        <v>0.29749999999999999</v>
      </c>
    </row>
    <row r="57" spans="16:20" ht="18.75" customHeight="1" x14ac:dyDescent="0.25">
      <c r="P57" s="6" t="s">
        <v>275</v>
      </c>
      <c r="Q57" s="98">
        <v>797555.08</v>
      </c>
      <c r="R57" s="98">
        <v>199291.4</v>
      </c>
      <c r="S57" s="98" t="s">
        <v>208</v>
      </c>
      <c r="T57" s="100">
        <v>0.34</v>
      </c>
    </row>
  </sheetData>
  <sheetProtection selectLockedCells="1"/>
  <mergeCells count="19">
    <mergeCell ref="I16:L16"/>
    <mergeCell ref="I2:L2"/>
    <mergeCell ref="Q2:T2"/>
    <mergeCell ref="I3:L3"/>
    <mergeCell ref="I4:L4"/>
    <mergeCell ref="I5:L5"/>
    <mergeCell ref="I6:L6"/>
    <mergeCell ref="I7:L7"/>
    <mergeCell ref="I9:M9"/>
    <mergeCell ref="I10:M12"/>
    <mergeCell ref="I14:M14"/>
    <mergeCell ref="I15:L15"/>
    <mergeCell ref="I25:L25"/>
    <mergeCell ref="I17:L17"/>
    <mergeCell ref="I18:L18"/>
    <mergeCell ref="I21:L21"/>
    <mergeCell ref="I22:L22"/>
    <mergeCell ref="I23:L23"/>
    <mergeCell ref="I24:L24"/>
  </mergeCells>
  <conditionalFormatting sqref="B13:C28 E13:F28">
    <cfRule type="expression" dxfId="12" priority="13">
      <formula>IF($D13=$O$10,TRUE,FALSE)</formula>
    </cfRule>
  </conditionalFormatting>
  <conditionalFormatting sqref="E5">
    <cfRule type="expression" dxfId="11" priority="12">
      <formula>IF($C$5=$O$5,FALSE,TRUE)</formula>
    </cfRule>
  </conditionalFormatting>
  <conditionalFormatting sqref="B2 E2 B4:C4 E4 B6:C6 E6">
    <cfRule type="expression" dxfId="10" priority="11">
      <formula>IF($C$7="GRUPO III",TRUE,FALSE)</formula>
    </cfRule>
  </conditionalFormatting>
  <conditionalFormatting sqref="B2 E2 B4:C4 E4 B6:C6 E6">
    <cfRule type="expression" dxfId="9" priority="10">
      <formula>IF($C$7="GRUPO IV",TRUE,FALSE)</formula>
    </cfRule>
  </conditionalFormatting>
  <conditionalFormatting sqref="C7:E7">
    <cfRule type="expression" dxfId="8" priority="8">
      <formula>IF($C$7="GRUPO IV",TRUE,FALSE)</formula>
    </cfRule>
    <cfRule type="expression" dxfId="7" priority="9">
      <formula>IF($C$7="GRUPO III",TRUE,FALSE)</formula>
    </cfRule>
  </conditionalFormatting>
  <conditionalFormatting sqref="M7 I2 M2">
    <cfRule type="expression" dxfId="6" priority="6">
      <formula>IF($C$7="GRUPO IV",TRUE,FALSE)</formula>
    </cfRule>
    <cfRule type="expression" dxfId="5" priority="7">
      <formula>IF($C$7="GRUPO III",TRUE,FALSE)</formula>
    </cfRule>
  </conditionalFormatting>
  <conditionalFormatting sqref="M3:M6">
    <cfRule type="expression" dxfId="4" priority="4">
      <formula>IF($C$7="GRUPO IV",TRUE,FALSE)</formula>
    </cfRule>
    <cfRule type="expression" dxfId="3" priority="5">
      <formula>IF($C$7="GRUPO III",TRUE,FALSE)</formula>
    </cfRule>
  </conditionalFormatting>
  <conditionalFormatting sqref="I7">
    <cfRule type="expression" dxfId="2" priority="2">
      <formula>IF($C$7="GRUPO IV",TRUE,FALSE)</formula>
    </cfRule>
    <cfRule type="expression" dxfId="1" priority="3">
      <formula>IF($C$7="GRUPO III",TRUE,FALSE)</formula>
    </cfRule>
  </conditionalFormatting>
  <conditionalFormatting sqref="H14:M25">
    <cfRule type="expression" dxfId="0" priority="1">
      <formula>IF($C$5=$O$5,FALSE,TRUE)</formula>
    </cfRule>
  </conditionalFormatting>
  <dataValidations count="4">
    <dataValidation type="list" allowBlank="1" showInputMessage="1" showErrorMessage="1" sqref="C5" xr:uid="{11BACCBD-8BC9-4703-93E5-25C31FBD4E07}">
      <formula1>$O$4:$O$6</formula1>
    </dataValidation>
    <dataValidation type="list" allowBlank="1" showInputMessage="1" showErrorMessage="1" sqref="E3" xr:uid="{1B159D25-4CDB-429D-9B21-D08D2685F3F2}">
      <formula1>$Q$4:$Q$7</formula1>
    </dataValidation>
    <dataValidation type="list" allowBlank="1" showInputMessage="1" showErrorMessage="1" sqref="E5" xr:uid="{6CF64C48-7EDB-4D15-9CB3-8B0050D045FE}">
      <formula1>$P$4:$P$5</formula1>
    </dataValidation>
    <dataValidation type="list" showInputMessage="1" showErrorMessage="1" errorTitle="Parentesco no encontrado" error="Por favor, seleccione un parentesco de la lista desplegable" sqref="B7" xr:uid="{EB794238-0D64-4D8A-BDC9-DA21DD96C13A}">
      <formula1>$W$3:$W$21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SUC Exenta (&gt;2021)</vt:lpstr>
      <vt:lpstr>Calculadora CUOTAS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</dc:creator>
  <cp:lastModifiedBy>LyD</cp:lastModifiedBy>
  <dcterms:created xsi:type="dcterms:W3CDTF">2021-11-28T17:08:57Z</dcterms:created>
  <dcterms:modified xsi:type="dcterms:W3CDTF">2021-11-30T18:13:24Z</dcterms:modified>
</cp:coreProperties>
</file>